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tables/table2.xml" ContentType="application/vnd.openxmlformats-officedocument.spreadsheetml.table+xml"/>
  <Override PartName="/xl/comments4.xml" ContentType="application/vnd.openxmlformats-officedocument.spreadsheetml.comments+xml"/>
  <Override PartName="/xl/drawings/drawing8.xml" ContentType="application/vnd.openxmlformats-officedocument.drawing+xml"/>
  <Override PartName="/xl/tables/table3.xml" ContentType="application/vnd.openxmlformats-officedocument.spreadsheetml.table+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cadoc-my.sharepoint.com/personal/michael_takamori_conservation_ca_gov/Documents/Facility Decommissioning/Cost Estimate Template/"/>
    </mc:Choice>
  </mc:AlternateContent>
  <xr:revisionPtr revIDLastSave="445" documentId="13_ncr:1_{AA3C39AE-A5DC-414C-AFC1-9070E41F715D}" xr6:coauthVersionLast="47" xr6:coauthVersionMax="47" xr10:uidLastSave="{282BF0DE-E0A7-4C5A-8DD9-560DB0E5E1D2}"/>
  <bookViews>
    <workbookView xWindow="-28920" yWindow="-2010" windowWidth="29040" windowHeight="17640" tabRatio="715" xr2:uid="{063759E7-A08D-4A18-BBF1-F87850815373}"/>
  </bookViews>
  <sheets>
    <sheet name="Overview" sheetId="9" r:id="rId1"/>
    <sheet name="Operator Contact" sheetId="57" r:id="rId2"/>
    <sheet name="Well P&amp;A Cost (Single Well)" sheetId="15" state="hidden" r:id="rId3"/>
    <sheet name="Well P&amp;A Background" sheetId="16" state="hidden" r:id="rId4"/>
    <sheet name="Well P&amp;A Cost" sheetId="29" r:id="rId5"/>
    <sheet name="Fac. Dec. &amp; Site Rem. (Single)" sheetId="51" state="hidden" r:id="rId6"/>
    <sheet name="Well Site Remediation" sheetId="52" r:id="rId7"/>
    <sheet name="Facility Decom. &amp; Site Remedia." sheetId="55" r:id="rId8"/>
    <sheet name="Well Site Rem. (Single Well)" sheetId="53" state="hidden" r:id="rId9"/>
    <sheet name="Contingency Calculation" sheetId="54" r:id="rId10"/>
  </sheets>
  <definedNames>
    <definedName name="_xlnm._FilterDatabase" localSheetId="4" hidden="1">'Well P&amp;A Cost'!$B$11:$AS$30</definedName>
    <definedName name="_xlnm.Print_Area" localSheetId="9">'Contingency Calculation'!$B$1:$F$25</definedName>
    <definedName name="_xlnm.Print_Area" localSheetId="5">'Fac. Dec. &amp; Site Rem. (Single)'!$B$1:$V$53</definedName>
    <definedName name="_xlnm.Print_Area" localSheetId="7">'Facility Decom. &amp; Site Remedia.'!$B$1:$AK$41</definedName>
    <definedName name="_xlnm.Print_Area" localSheetId="0">Overview!$B$2:$AB$27</definedName>
    <definedName name="_xlnm.Print_Area" localSheetId="4">'Well P&amp;A Cost'!$B$1:$AR$41</definedName>
    <definedName name="_xlnm.Print_Area" localSheetId="2">'Well P&amp;A Cost (Single Well)'!$B$2:$L$51</definedName>
    <definedName name="_xlnm.Print_Area" localSheetId="8">'Well Site Rem. (Single Well)'!$B$1:$W$41</definedName>
    <definedName name="_xlnm.Print_Area" localSheetId="6">'Well Site Remediation'!$B$1:$X$40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55" l="1"/>
  <c r="M13" i="55"/>
  <c r="N13" i="55"/>
  <c r="J29" i="29" l="1"/>
  <c r="Q29" i="29" s="1"/>
  <c r="R29" i="29" s="1"/>
  <c r="W29" i="29" s="1"/>
  <c r="AO29" i="29" s="1"/>
  <c r="AP29" i="29" s="1"/>
  <c r="J28" i="29"/>
  <c r="Q28" i="29" s="1"/>
  <c r="R28" i="29" s="1"/>
  <c r="W28" i="29" s="1"/>
  <c r="AO28" i="29" s="1"/>
  <c r="AP28" i="29" s="1"/>
  <c r="D29" i="29"/>
  <c r="D28" i="29"/>
  <c r="O28" i="29"/>
  <c r="P28" i="29"/>
  <c r="X28" i="29"/>
  <c r="Y28" i="29"/>
  <c r="O29" i="29"/>
  <c r="P29" i="29"/>
  <c r="X29" i="29"/>
  <c r="Y29" i="29"/>
  <c r="Y30" i="29"/>
  <c r="Y27" i="29"/>
  <c r="Y26" i="29"/>
  <c r="Y25" i="29"/>
  <c r="Y24" i="29"/>
  <c r="Y23" i="29"/>
  <c r="Y22" i="29"/>
  <c r="Y21" i="29"/>
  <c r="Y20" i="29"/>
  <c r="Y19" i="29"/>
  <c r="Y18" i="29"/>
  <c r="Y17" i="29"/>
  <c r="Y16" i="29"/>
  <c r="Y15" i="29"/>
  <c r="Y14" i="29"/>
  <c r="Y13" i="29"/>
  <c r="X13" i="29"/>
  <c r="X14" i="29"/>
  <c r="X15" i="29"/>
  <c r="X16" i="29"/>
  <c r="X17" i="29"/>
  <c r="X18" i="29"/>
  <c r="X19" i="29"/>
  <c r="X20" i="29"/>
  <c r="X21" i="29"/>
  <c r="X22" i="29"/>
  <c r="X23" i="29"/>
  <c r="X24" i="29"/>
  <c r="X25" i="29"/>
  <c r="X26" i="29"/>
  <c r="X27" i="29"/>
  <c r="X30" i="29"/>
  <c r="P13" i="29"/>
  <c r="P14" i="29"/>
  <c r="P15" i="29"/>
  <c r="P16" i="29"/>
  <c r="P17" i="29"/>
  <c r="P18" i="29"/>
  <c r="P19" i="29"/>
  <c r="P20" i="29"/>
  <c r="P21" i="29"/>
  <c r="P22" i="29"/>
  <c r="P23" i="29"/>
  <c r="P24" i="29"/>
  <c r="P25" i="29"/>
  <c r="P26" i="29"/>
  <c r="P27" i="29"/>
  <c r="P30" i="29"/>
  <c r="O13" i="29"/>
  <c r="O14" i="29"/>
  <c r="O15" i="29"/>
  <c r="O16" i="29"/>
  <c r="O17" i="29"/>
  <c r="O18" i="29"/>
  <c r="O19" i="29"/>
  <c r="O20" i="29"/>
  <c r="O21" i="29"/>
  <c r="O22" i="29"/>
  <c r="O23" i="29"/>
  <c r="O24" i="29"/>
  <c r="O25" i="29"/>
  <c r="O26" i="29"/>
  <c r="O27" i="29"/>
  <c r="O30" i="29"/>
  <c r="K40" i="15"/>
  <c r="K38" i="15"/>
  <c r="L29" i="29" l="1"/>
  <c r="K29" i="29" s="1"/>
  <c r="L28" i="29"/>
  <c r="K28" i="29" s="1"/>
  <c r="AQ29" i="29"/>
  <c r="AR29" i="29" s="1"/>
  <c r="AQ28" i="29"/>
  <c r="AR28" i="29" s="1"/>
  <c r="M14" i="52"/>
  <c r="R14" i="52"/>
  <c r="S14" i="52"/>
  <c r="T14" i="52"/>
  <c r="R13" i="52"/>
  <c r="S13" i="52"/>
  <c r="T13" i="52"/>
  <c r="M15" i="52"/>
  <c r="R15" i="52"/>
  <c r="S15" i="52"/>
  <c r="T15" i="52"/>
  <c r="M16" i="52"/>
  <c r="R16" i="52"/>
  <c r="S16" i="52"/>
  <c r="T16" i="52"/>
  <c r="M17" i="52"/>
  <c r="R17" i="52"/>
  <c r="S17" i="52"/>
  <c r="T17" i="52"/>
  <c r="M18" i="52"/>
  <c r="R18" i="52"/>
  <c r="S18" i="52"/>
  <c r="T18" i="52"/>
  <c r="M19" i="52"/>
  <c r="R19" i="52"/>
  <c r="S19" i="52"/>
  <c r="T19" i="52"/>
  <c r="M20" i="52"/>
  <c r="R20" i="52"/>
  <c r="S20" i="52"/>
  <c r="T20" i="52"/>
  <c r="M21" i="52"/>
  <c r="R21" i="52"/>
  <c r="S21" i="52"/>
  <c r="T21" i="52"/>
  <c r="M22" i="52"/>
  <c r="R22" i="52"/>
  <c r="S22" i="52"/>
  <c r="T22" i="52"/>
  <c r="M23" i="52"/>
  <c r="R23" i="52"/>
  <c r="S23" i="52"/>
  <c r="T23" i="52"/>
  <c r="M24" i="52"/>
  <c r="R24" i="52"/>
  <c r="S24" i="52"/>
  <c r="T24" i="52"/>
  <c r="M25" i="52"/>
  <c r="R25" i="52"/>
  <c r="S25" i="52"/>
  <c r="T25" i="52"/>
  <c r="M26" i="52"/>
  <c r="R26" i="52"/>
  <c r="S26" i="52"/>
  <c r="T26" i="52"/>
  <c r="M27" i="52"/>
  <c r="R27" i="52"/>
  <c r="S27" i="52"/>
  <c r="T27" i="52"/>
  <c r="M28" i="52"/>
  <c r="R28" i="52"/>
  <c r="S28" i="52"/>
  <c r="T28" i="52"/>
  <c r="M29" i="52"/>
  <c r="R29" i="52"/>
  <c r="S29" i="52"/>
  <c r="T29" i="52"/>
  <c r="M30" i="52"/>
  <c r="R30" i="52"/>
  <c r="S30" i="52"/>
  <c r="T30" i="52"/>
  <c r="H21" i="15"/>
  <c r="H4" i="15"/>
  <c r="M18" i="15"/>
  <c r="H18" i="15"/>
  <c r="H19" i="15"/>
  <c r="H20" i="15"/>
  <c r="H17" i="15"/>
  <c r="AE15" i="55" l="1"/>
  <c r="AD15" i="55"/>
  <c r="AC15" i="55"/>
  <c r="W15" i="55"/>
  <c r="V15" i="55"/>
  <c r="U15" i="55"/>
  <c r="T15" i="55"/>
  <c r="S15" i="55"/>
  <c r="Z32" i="55"/>
  <c r="Y32" i="55"/>
  <c r="X32" i="55"/>
  <c r="Q32" i="55"/>
  <c r="P32" i="55"/>
  <c r="O32" i="55"/>
  <c r="K32" i="55"/>
  <c r="J32" i="55"/>
  <c r="I32" i="55"/>
  <c r="H32" i="55"/>
  <c r="G32" i="55"/>
  <c r="AE30" i="55"/>
  <c r="AD30" i="55"/>
  <c r="AC30" i="55"/>
  <c r="W30" i="55"/>
  <c r="V30" i="55"/>
  <c r="U30" i="55"/>
  <c r="T30" i="55"/>
  <c r="S30" i="55"/>
  <c r="AE29" i="55"/>
  <c r="AD29" i="55"/>
  <c r="AC29" i="55"/>
  <c r="W29" i="55"/>
  <c r="V29" i="55"/>
  <c r="U29" i="55"/>
  <c r="T29" i="55"/>
  <c r="S29" i="55"/>
  <c r="AE28" i="55"/>
  <c r="AD28" i="55"/>
  <c r="AC28" i="55"/>
  <c r="W28" i="55"/>
  <c r="V28" i="55"/>
  <c r="U28" i="55"/>
  <c r="T28" i="55"/>
  <c r="S28" i="55"/>
  <c r="AE27" i="55"/>
  <c r="AD27" i="55"/>
  <c r="AC27" i="55"/>
  <c r="W27" i="55"/>
  <c r="V27" i="55"/>
  <c r="U27" i="55"/>
  <c r="T27" i="55"/>
  <c r="S27" i="55"/>
  <c r="AE26" i="55"/>
  <c r="AD26" i="55"/>
  <c r="AC26" i="55"/>
  <c r="W26" i="55"/>
  <c r="V26" i="55"/>
  <c r="U26" i="55"/>
  <c r="T26" i="55"/>
  <c r="S26" i="55"/>
  <c r="AE25" i="55"/>
  <c r="AD25" i="55"/>
  <c r="AC25" i="55"/>
  <c r="W25" i="55"/>
  <c r="V25" i="55"/>
  <c r="U25" i="55"/>
  <c r="T25" i="55"/>
  <c r="S25" i="55"/>
  <c r="AE24" i="55"/>
  <c r="AD24" i="55"/>
  <c r="AC24" i="55"/>
  <c r="W24" i="55"/>
  <c r="V24" i="55"/>
  <c r="U24" i="55"/>
  <c r="T24" i="55"/>
  <c r="S24" i="55"/>
  <c r="AE23" i="55"/>
  <c r="AD23" i="55"/>
  <c r="AC23" i="55"/>
  <c r="W23" i="55"/>
  <c r="V23" i="55"/>
  <c r="U23" i="55"/>
  <c r="T23" i="55"/>
  <c r="S23" i="55"/>
  <c r="AE22" i="55"/>
  <c r="AD22" i="55"/>
  <c r="AC22" i="55"/>
  <c r="W22" i="55"/>
  <c r="V22" i="55"/>
  <c r="U22" i="55"/>
  <c r="T22" i="55"/>
  <c r="S22" i="55"/>
  <c r="AE21" i="55"/>
  <c r="AD21" i="55"/>
  <c r="AC21" i="55"/>
  <c r="W21" i="55"/>
  <c r="V21" i="55"/>
  <c r="U21" i="55"/>
  <c r="T21" i="55"/>
  <c r="S21" i="55"/>
  <c r="AE20" i="55"/>
  <c r="AD20" i="55"/>
  <c r="AC20" i="55"/>
  <c r="W20" i="55"/>
  <c r="V20" i="55"/>
  <c r="U20" i="55"/>
  <c r="T20" i="55"/>
  <c r="S20" i="55"/>
  <c r="AE19" i="55"/>
  <c r="AD19" i="55"/>
  <c r="AC19" i="55"/>
  <c r="W19" i="55"/>
  <c r="V19" i="55"/>
  <c r="U19" i="55"/>
  <c r="T19" i="55"/>
  <c r="S19" i="55"/>
  <c r="AE18" i="55"/>
  <c r="AD18" i="55"/>
  <c r="AC18" i="55"/>
  <c r="W18" i="55"/>
  <c r="V18" i="55"/>
  <c r="U18" i="55"/>
  <c r="T18" i="55"/>
  <c r="S18" i="55"/>
  <c r="AE17" i="55"/>
  <c r="AD17" i="55"/>
  <c r="AC17" i="55"/>
  <c r="W17" i="55"/>
  <c r="V17" i="55"/>
  <c r="U17" i="55"/>
  <c r="T17" i="55"/>
  <c r="S17" i="55"/>
  <c r="AE16" i="55"/>
  <c r="AD16" i="55"/>
  <c r="AC16" i="55"/>
  <c r="W16" i="55"/>
  <c r="V16" i="55"/>
  <c r="U16" i="55"/>
  <c r="T16" i="55"/>
  <c r="S16" i="55"/>
  <c r="AE14" i="55"/>
  <c r="AD14" i="55"/>
  <c r="AC14" i="55"/>
  <c r="W14" i="55"/>
  <c r="V14" i="55"/>
  <c r="U14" i="55"/>
  <c r="T14" i="55"/>
  <c r="S14" i="55"/>
  <c r="AE13" i="55"/>
  <c r="AD13" i="55"/>
  <c r="AC13" i="55"/>
  <c r="W13" i="55"/>
  <c r="V13" i="55"/>
  <c r="U13" i="55"/>
  <c r="T13" i="55"/>
  <c r="S13" i="55"/>
  <c r="AH15" i="55" l="1"/>
  <c r="AJ15" i="55" s="1"/>
  <c r="AH14" i="55"/>
  <c r="AJ14" i="55" s="1"/>
  <c r="AH19" i="55"/>
  <c r="AJ19" i="55" s="1"/>
  <c r="AH23" i="55"/>
  <c r="AJ23" i="55" s="1"/>
  <c r="AH27" i="55"/>
  <c r="AJ27" i="55" s="1"/>
  <c r="U32" i="55"/>
  <c r="V32" i="55"/>
  <c r="W32" i="55"/>
  <c r="AH20" i="55"/>
  <c r="AJ20" i="55" s="1"/>
  <c r="AH24" i="55"/>
  <c r="AJ24" i="55" s="1"/>
  <c r="AH28" i="55"/>
  <c r="AJ28" i="55" s="1"/>
  <c r="AH16" i="55"/>
  <c r="AJ16" i="55" s="1"/>
  <c r="AH17" i="55"/>
  <c r="AJ17" i="55" s="1"/>
  <c r="AH21" i="55"/>
  <c r="AJ21" i="55" s="1"/>
  <c r="AH25" i="55"/>
  <c r="AJ25" i="55" s="1"/>
  <c r="AH29" i="55"/>
  <c r="AJ29" i="55" s="1"/>
  <c r="AH18" i="55"/>
  <c r="AJ18" i="55" s="1"/>
  <c r="AH30" i="55"/>
  <c r="AJ30" i="55" s="1"/>
  <c r="S32" i="55"/>
  <c r="AH22" i="55"/>
  <c r="AJ22" i="55" s="1"/>
  <c r="AH26" i="55"/>
  <c r="AJ26" i="55" s="1"/>
  <c r="T32" i="55"/>
  <c r="AH13" i="55"/>
  <c r="AG29" i="55" l="1"/>
  <c r="AI29" i="55" s="1"/>
  <c r="AK29" i="55" s="1"/>
  <c r="AG25" i="55"/>
  <c r="AI25" i="55" s="1"/>
  <c r="AK25" i="55" s="1"/>
  <c r="AG17" i="55"/>
  <c r="AI17" i="55" s="1"/>
  <c r="AK17" i="55" s="1"/>
  <c r="AG24" i="55"/>
  <c r="AI24" i="55" s="1"/>
  <c r="AK24" i="55" s="1"/>
  <c r="AG26" i="55"/>
  <c r="AI26" i="55" s="1"/>
  <c r="AK26" i="55" s="1"/>
  <c r="AG18" i="55"/>
  <c r="AI18" i="55" s="1"/>
  <c r="AK18" i="55" s="1"/>
  <c r="AG23" i="55"/>
  <c r="AI23" i="55" s="1"/>
  <c r="AK23" i="55" s="1"/>
  <c r="AG22" i="55"/>
  <c r="AI22" i="55" s="1"/>
  <c r="AK22" i="55" s="1"/>
  <c r="AG27" i="55"/>
  <c r="AI27" i="55" s="1"/>
  <c r="AK27" i="55" s="1"/>
  <c r="M32" i="55"/>
  <c r="AG28" i="55"/>
  <c r="AI28" i="55" s="1"/>
  <c r="AK28" i="55" s="1"/>
  <c r="AG20" i="55"/>
  <c r="AI20" i="55" s="1"/>
  <c r="AK20" i="55" s="1"/>
  <c r="AG16" i="55"/>
  <c r="AI16" i="55" s="1"/>
  <c r="AK16" i="55" s="1"/>
  <c r="AG19" i="55"/>
  <c r="AI19" i="55" s="1"/>
  <c r="AK19" i="55" s="1"/>
  <c r="AG15" i="55"/>
  <c r="AI15" i="55" s="1"/>
  <c r="AK15" i="55" s="1"/>
  <c r="AG21" i="55"/>
  <c r="AI21" i="55" s="1"/>
  <c r="AK21" i="55" s="1"/>
  <c r="AG14" i="55"/>
  <c r="AI14" i="55" s="1"/>
  <c r="AK14" i="55" s="1"/>
  <c r="AG30" i="55"/>
  <c r="AI30" i="55" s="1"/>
  <c r="AK30" i="55" s="1"/>
  <c r="L32" i="55"/>
  <c r="N32" i="55"/>
  <c r="AG13" i="55"/>
  <c r="AJ13" i="55"/>
  <c r="AH32" i="55"/>
  <c r="AJ32" i="55" s="1"/>
  <c r="AI13" i="55" l="1"/>
  <c r="AK13" i="55" s="1"/>
  <c r="AG32" i="55"/>
  <c r="AI32" i="55" s="1"/>
  <c r="AK32" i="55" s="1"/>
  <c r="D13" i="29" l="1"/>
  <c r="D14" i="29"/>
  <c r="D15" i="29"/>
  <c r="D16" i="29"/>
  <c r="D17" i="29"/>
  <c r="D18" i="29"/>
  <c r="D19" i="29"/>
  <c r="D20" i="29"/>
  <c r="D21" i="29"/>
  <c r="D22" i="29"/>
  <c r="D23" i="29"/>
  <c r="D24" i="29"/>
  <c r="D25" i="29"/>
  <c r="D26" i="29"/>
  <c r="D27" i="29"/>
  <c r="D30" i="29"/>
  <c r="J30" i="29"/>
  <c r="Q30" i="29" s="1"/>
  <c r="R30" i="29" s="1"/>
  <c r="W30" i="29" s="1"/>
  <c r="J27" i="29"/>
  <c r="L27" i="29" s="1"/>
  <c r="K27" i="29" s="1"/>
  <c r="J26" i="29"/>
  <c r="L26" i="29" s="1"/>
  <c r="K26" i="29" s="1"/>
  <c r="J25" i="29"/>
  <c r="Q25" i="29" s="1"/>
  <c r="R25" i="29" s="1"/>
  <c r="W25" i="29" s="1"/>
  <c r="J24" i="29"/>
  <c r="L24" i="29" s="1"/>
  <c r="K24" i="29" s="1"/>
  <c r="J23" i="29"/>
  <c r="L23" i="29" s="1"/>
  <c r="K23" i="29" s="1"/>
  <c r="J22" i="29"/>
  <c r="L22" i="29" s="1"/>
  <c r="K22" i="29" s="1"/>
  <c r="J21" i="29"/>
  <c r="L21" i="29" s="1"/>
  <c r="K21" i="29" s="1"/>
  <c r="J20" i="29"/>
  <c r="L20" i="29" s="1"/>
  <c r="K20" i="29" s="1"/>
  <c r="J19" i="29"/>
  <c r="L19" i="29" s="1"/>
  <c r="K19" i="29" s="1"/>
  <c r="J18" i="29"/>
  <c r="L18" i="29" s="1"/>
  <c r="K18" i="29" s="1"/>
  <c r="J17" i="29"/>
  <c r="Q17" i="29" s="1"/>
  <c r="R17" i="29" s="1"/>
  <c r="W17" i="29" s="1"/>
  <c r="J16" i="29"/>
  <c r="L16" i="29" s="1"/>
  <c r="K16" i="29" s="1"/>
  <c r="J15" i="29"/>
  <c r="L15" i="29" s="1"/>
  <c r="K15" i="29" s="1"/>
  <c r="J14" i="29"/>
  <c r="L14" i="29" s="1"/>
  <c r="K14" i="29" s="1"/>
  <c r="J13" i="29"/>
  <c r="L13" i="29" s="1"/>
  <c r="K13" i="29" s="1"/>
  <c r="AO30" i="29" l="1"/>
  <c r="Q24" i="29"/>
  <c r="R24" i="29" s="1"/>
  <c r="Q27" i="29"/>
  <c r="R27" i="29" s="1"/>
  <c r="Q22" i="29"/>
  <c r="R22" i="29" s="1"/>
  <c r="Q16" i="29"/>
  <c r="R16" i="29" s="1"/>
  <c r="Q26" i="29"/>
  <c r="R26" i="29" s="1"/>
  <c r="Q19" i="29"/>
  <c r="R19" i="29" s="1"/>
  <c r="Q14" i="29"/>
  <c r="R14" i="29" s="1"/>
  <c r="W14" i="29" s="1"/>
  <c r="Q20" i="29"/>
  <c r="R20" i="29" s="1"/>
  <c r="Q15" i="29"/>
  <c r="R15" i="29" s="1"/>
  <c r="W15" i="29" s="1"/>
  <c r="Q23" i="29"/>
  <c r="R23" i="29" s="1"/>
  <c r="Q13" i="29"/>
  <c r="R13" i="29" s="1"/>
  <c r="W13" i="29" s="1"/>
  <c r="Q21" i="29"/>
  <c r="R21" i="29" s="1"/>
  <c r="Q18" i="29"/>
  <c r="R18" i="29" s="1"/>
  <c r="L30" i="29"/>
  <c r="K30" i="29" s="1"/>
  <c r="L25" i="29"/>
  <c r="K25" i="29" s="1"/>
  <c r="L17" i="29"/>
  <c r="K17" i="29" s="1"/>
  <c r="AO25" i="29"/>
  <c r="AO17" i="29"/>
  <c r="B16" i="16"/>
  <c r="C16" i="16" s="1"/>
  <c r="O32" i="52"/>
  <c r="K44" i="15"/>
  <c r="F17" i="54"/>
  <c r="F16" i="54"/>
  <c r="F12" i="54"/>
  <c r="F15" i="54"/>
  <c r="F14" i="54"/>
  <c r="F13" i="54"/>
  <c r="F11" i="54"/>
  <c r="F10" i="54"/>
  <c r="D24" i="53"/>
  <c r="D22" i="53"/>
  <c r="D18" i="53"/>
  <c r="D23" i="53"/>
  <c r="D17" i="53"/>
  <c r="D16" i="53"/>
  <c r="D15" i="53"/>
  <c r="D14" i="53"/>
  <c r="V14" i="52"/>
  <c r="W14" i="52" s="1"/>
  <c r="K32" i="52"/>
  <c r="N32" i="52"/>
  <c r="H32" i="52"/>
  <c r="G32" i="52"/>
  <c r="D36" i="51"/>
  <c r="D35" i="51"/>
  <c r="D34" i="51"/>
  <c r="E33" i="51"/>
  <c r="D33" i="51"/>
  <c r="E32" i="51"/>
  <c r="D32" i="51" s="1"/>
  <c r="E31" i="51"/>
  <c r="D31" i="51" s="1"/>
  <c r="E30" i="51"/>
  <c r="D30" i="51" s="1"/>
  <c r="E29" i="51"/>
  <c r="D29" i="51"/>
  <c r="D25" i="51"/>
  <c r="D24" i="51"/>
  <c r="D23" i="51"/>
  <c r="D22" i="51"/>
  <c r="D21" i="51"/>
  <c r="D20" i="51"/>
  <c r="D19" i="51"/>
  <c r="D18" i="51"/>
  <c r="D17" i="51"/>
  <c r="D16" i="51"/>
  <c r="D15" i="51"/>
  <c r="E16" i="16"/>
  <c r="G15" i="16"/>
  <c r="H15" i="16" s="1"/>
  <c r="F15" i="16"/>
  <c r="E15" i="16"/>
  <c r="C15" i="16"/>
  <c r="D8" i="16"/>
  <c r="G7" i="16"/>
  <c r="F7" i="16"/>
  <c r="E7" i="16"/>
  <c r="I6" i="16"/>
  <c r="G6" i="16"/>
  <c r="F6" i="16"/>
  <c r="E6" i="16"/>
  <c r="I5" i="16"/>
  <c r="L6" i="15"/>
  <c r="L4" i="15"/>
  <c r="F16" i="16"/>
  <c r="H6" i="15"/>
  <c r="H26" i="15"/>
  <c r="H24" i="15"/>
  <c r="H12" i="15"/>
  <c r="H13" i="15"/>
  <c r="H14" i="15"/>
  <c r="H11" i="15"/>
  <c r="L23" i="15"/>
  <c r="M24" i="15" s="1"/>
  <c r="L10" i="15"/>
  <c r="M14" i="15" s="1"/>
  <c r="M21" i="15"/>
  <c r="D19" i="53" l="1"/>
  <c r="D25" i="53"/>
  <c r="D26" i="51"/>
  <c r="W24" i="29"/>
  <c r="AO24" i="29" s="1"/>
  <c r="AO14" i="29"/>
  <c r="W19" i="29"/>
  <c r="AO19" i="29" s="1"/>
  <c r="W23" i="29"/>
  <c r="AO23" i="29" s="1"/>
  <c r="W20" i="29"/>
  <c r="AO20" i="29" s="1"/>
  <c r="W18" i="29"/>
  <c r="AO18" i="29" s="1"/>
  <c r="W26" i="29"/>
  <c r="AO26" i="29" s="1"/>
  <c r="W21" i="29"/>
  <c r="AO21" i="29" s="1"/>
  <c r="W16" i="29"/>
  <c r="AO16" i="29" s="1"/>
  <c r="AO15" i="29"/>
  <c r="W22" i="29"/>
  <c r="AO22" i="29" s="1"/>
  <c r="W27" i="29"/>
  <c r="AO27" i="29" s="1"/>
  <c r="B17" i="16"/>
  <c r="G16" i="16"/>
  <c r="H16" i="16" s="1"/>
  <c r="J13" i="52"/>
  <c r="V13" i="52" s="1"/>
  <c r="W13" i="52" s="1"/>
  <c r="M19" i="15"/>
  <c r="M13" i="15"/>
  <c r="M11" i="15"/>
  <c r="M17" i="15"/>
  <c r="M26" i="15"/>
  <c r="L28" i="15"/>
  <c r="M20" i="15"/>
  <c r="M12" i="15"/>
  <c r="AO13" i="29"/>
  <c r="D30" i="53"/>
  <c r="D29" i="53"/>
  <c r="D28" i="53"/>
  <c r="D37" i="51"/>
  <c r="D42" i="51" s="1"/>
  <c r="F19" i="54"/>
  <c r="F20" i="54" s="1"/>
  <c r="E39" i="51" s="1"/>
  <c r="M32" i="52"/>
  <c r="G28" i="15"/>
  <c r="B12" i="16" l="1"/>
  <c r="D12" i="16" s="1"/>
  <c r="B18" i="16"/>
  <c r="F17" i="16"/>
  <c r="C17" i="16"/>
  <c r="E17" i="16"/>
  <c r="G17" i="16"/>
  <c r="H17" i="16" s="1"/>
  <c r="V24" i="52"/>
  <c r="W24" i="52" s="1"/>
  <c r="V16" i="52"/>
  <c r="W16" i="52" s="1"/>
  <c r="V27" i="52"/>
  <c r="W27" i="52" s="1"/>
  <c r="V19" i="52"/>
  <c r="W19" i="52" s="1"/>
  <c r="V29" i="52"/>
  <c r="W29" i="52" s="1"/>
  <c r="V21" i="52"/>
  <c r="W21" i="52" s="1"/>
  <c r="V28" i="52"/>
  <c r="W28" i="52" s="1"/>
  <c r="V20" i="52"/>
  <c r="W20" i="52" s="1"/>
  <c r="V22" i="52"/>
  <c r="W22" i="52" s="1"/>
  <c r="V26" i="52"/>
  <c r="W26" i="52" s="1"/>
  <c r="V18" i="52"/>
  <c r="W18" i="52" s="1"/>
  <c r="V23" i="52"/>
  <c r="W23" i="52" s="1"/>
  <c r="V30" i="52"/>
  <c r="W30" i="52" s="1"/>
  <c r="V25" i="52"/>
  <c r="W25" i="52" s="1"/>
  <c r="V17" i="52"/>
  <c r="W17" i="52" s="1"/>
  <c r="V15" i="52"/>
  <c r="W15" i="52" s="1"/>
  <c r="I32" i="52"/>
  <c r="D41" i="51"/>
  <c r="D40" i="51"/>
  <c r="E27" i="53"/>
  <c r="D27" i="53" s="1"/>
  <c r="D32" i="53" s="1"/>
  <c r="H27" i="53" s="1"/>
  <c r="P48" i="51"/>
  <c r="Q48" i="51" s="1"/>
  <c r="D39" i="51"/>
  <c r="P47" i="51"/>
  <c r="J32" i="52"/>
  <c r="E12" i="16" l="1"/>
  <c r="F12" i="16"/>
  <c r="G12" i="16" s="1"/>
  <c r="C12" i="16"/>
  <c r="B19" i="16"/>
  <c r="C18" i="16"/>
  <c r="G18" i="16"/>
  <c r="H18" i="16" s="1"/>
  <c r="E18" i="16"/>
  <c r="F18" i="16"/>
  <c r="V32" i="52"/>
  <c r="W32" i="52" s="1"/>
  <c r="H22" i="53"/>
  <c r="H29" i="53"/>
  <c r="H14" i="53"/>
  <c r="H24" i="53"/>
  <c r="H28" i="53"/>
  <c r="H23" i="53"/>
  <c r="H30" i="53"/>
  <c r="H17" i="53"/>
  <c r="P35" i="53"/>
  <c r="H15" i="53"/>
  <c r="H18" i="53"/>
  <c r="H16" i="53"/>
  <c r="P49" i="51"/>
  <c r="Q47" i="51"/>
  <c r="Q49" i="51" s="1"/>
  <c r="D44" i="51"/>
  <c r="H39" i="51" s="1"/>
  <c r="H12" i="16" l="1"/>
  <c r="K46" i="15" s="1"/>
  <c r="K48" i="15" s="1"/>
  <c r="K50" i="15" s="1"/>
  <c r="C19" i="16"/>
  <c r="H19" i="16"/>
  <c r="F19" i="16"/>
  <c r="E19" i="16"/>
  <c r="B20" i="16"/>
  <c r="G19" i="16"/>
  <c r="H25" i="53"/>
  <c r="H19" i="53"/>
  <c r="H24" i="51"/>
  <c r="H33" i="51"/>
  <c r="H25" i="51"/>
  <c r="H34" i="51"/>
  <c r="H42" i="51"/>
  <c r="H17" i="51"/>
  <c r="H30" i="51"/>
  <c r="H40" i="51"/>
  <c r="H35" i="51"/>
  <c r="H22" i="51"/>
  <c r="H16" i="51"/>
  <c r="H41" i="51"/>
  <c r="H19" i="51"/>
  <c r="H18" i="51"/>
  <c r="H29" i="51"/>
  <c r="H20" i="51"/>
  <c r="H21" i="51"/>
  <c r="H32" i="51"/>
  <c r="H31" i="51"/>
  <c r="H15" i="51"/>
  <c r="H36" i="51"/>
  <c r="H23" i="51"/>
  <c r="H32" i="53" l="1"/>
  <c r="B21" i="16"/>
  <c r="E20" i="16"/>
  <c r="G20" i="16"/>
  <c r="H20" i="16" s="1"/>
  <c r="F20" i="16"/>
  <c r="C20" i="16"/>
  <c r="H37" i="51"/>
  <c r="H26" i="51"/>
  <c r="F21" i="16" l="1"/>
  <c r="E21" i="16"/>
  <c r="G21" i="16"/>
  <c r="H21" i="16" s="1"/>
  <c r="C21" i="16"/>
  <c r="B22" i="16"/>
  <c r="H44" i="51"/>
  <c r="B23" i="16" l="1"/>
  <c r="G22" i="16"/>
  <c r="H22" i="16" s="1"/>
  <c r="C22" i="16"/>
  <c r="F22" i="16"/>
  <c r="E22" i="16"/>
  <c r="F23" i="16" l="1"/>
  <c r="C23" i="16"/>
  <c r="E23" i="16"/>
  <c r="B24" i="16"/>
  <c r="G23" i="16"/>
  <c r="H23" i="16" s="1"/>
  <c r="E24" i="16" l="1"/>
  <c r="G24" i="16"/>
  <c r="F24" i="16"/>
  <c r="C24" i="16"/>
  <c r="H24" i="16"/>
  <c r="B25" i="16"/>
  <c r="C25" i="16" l="1"/>
  <c r="B26" i="16"/>
  <c r="F25" i="16"/>
  <c r="E25" i="16"/>
  <c r="G25" i="16"/>
  <c r="H25" i="16" s="1"/>
  <c r="E26" i="16" l="1"/>
  <c r="F26" i="16"/>
  <c r="B27" i="16"/>
  <c r="G26" i="16"/>
  <c r="H26" i="16" s="1"/>
  <c r="C26" i="16" l="1"/>
  <c r="F27" i="16"/>
  <c r="E27" i="16"/>
  <c r="B28" i="16"/>
  <c r="G27" i="16"/>
  <c r="H27" i="16" s="1"/>
  <c r="C27" i="16" s="1"/>
  <c r="F28" i="16" l="1"/>
  <c r="B29" i="16"/>
  <c r="E28" i="16"/>
  <c r="G28" i="16"/>
  <c r="H28" i="16" s="1"/>
  <c r="C28" i="16" s="1"/>
  <c r="F29" i="16" l="1"/>
  <c r="G29" i="16"/>
  <c r="H29" i="16" s="1"/>
  <c r="C29" i="16" s="1"/>
  <c r="B30" i="16"/>
  <c r="E29" i="16"/>
  <c r="B31" i="16" l="1"/>
  <c r="G30" i="16"/>
  <c r="H30" i="16" s="1"/>
  <c r="F30" i="16"/>
  <c r="E30" i="16"/>
  <c r="C30" i="16" l="1"/>
  <c r="E31" i="16"/>
  <c r="F31" i="16"/>
  <c r="G31" i="16"/>
  <c r="H31" i="16" s="1"/>
  <c r="C31" i="16" s="1"/>
  <c r="B32" i="16"/>
  <c r="E32" i="16" l="1"/>
  <c r="B33" i="16"/>
  <c r="F32" i="16"/>
  <c r="G32" i="16"/>
  <c r="H32" i="16" s="1"/>
  <c r="C32" i="16" s="1"/>
  <c r="B34" i="16" l="1"/>
  <c r="E33" i="16"/>
  <c r="G33" i="16"/>
  <c r="H33" i="16" s="1"/>
  <c r="F33" i="16"/>
  <c r="C33" i="16" l="1"/>
  <c r="E34" i="16"/>
  <c r="F34" i="16"/>
  <c r="B35" i="16"/>
  <c r="G34" i="16"/>
  <c r="H34" i="16" s="1"/>
  <c r="C34" i="16" s="1"/>
  <c r="E35" i="16" l="1"/>
  <c r="B36" i="16"/>
  <c r="F35" i="16"/>
  <c r="G35" i="16"/>
  <c r="H35" i="16" s="1"/>
  <c r="C35" i="16" s="1"/>
  <c r="B37" i="16" l="1"/>
  <c r="F36" i="16"/>
  <c r="G36" i="16"/>
  <c r="H36" i="16" s="1"/>
  <c r="C36" i="16" s="1"/>
  <c r="E36" i="16"/>
  <c r="E37" i="16" l="1"/>
  <c r="G37" i="16"/>
  <c r="H37" i="16" s="1"/>
  <c r="C37" i="16" s="1"/>
  <c r="F37" i="16"/>
  <c r="B38" i="16"/>
  <c r="E38" i="16" l="1"/>
  <c r="F38" i="16"/>
  <c r="G38" i="16"/>
  <c r="H38" i="16" s="1"/>
  <c r="C38" i="16" s="1"/>
  <c r="B39" i="16"/>
  <c r="F39" i="16" l="1"/>
  <c r="E39" i="16"/>
  <c r="B40" i="16"/>
  <c r="G39" i="16"/>
  <c r="H39" i="16" s="1"/>
  <c r="C39" i="16" s="1"/>
  <c r="G40" i="16" l="1"/>
  <c r="H40" i="16" s="1"/>
  <c r="F40" i="16"/>
  <c r="E40" i="16"/>
  <c r="B41" i="16"/>
  <c r="E41" i="16" l="1"/>
  <c r="G41" i="16"/>
  <c r="H41" i="16" s="1"/>
  <c r="C41" i="16" s="1"/>
  <c r="F41" i="16"/>
  <c r="B42" i="16"/>
  <c r="C40" i="16"/>
  <c r="B43" i="16" l="1"/>
  <c r="F42" i="16"/>
  <c r="E42" i="16"/>
  <c r="G42" i="16"/>
  <c r="H42" i="16" s="1"/>
  <c r="C42" i="16" s="1"/>
  <c r="F43" i="16" l="1"/>
  <c r="B44" i="16"/>
  <c r="E43" i="16"/>
  <c r="G43" i="16"/>
  <c r="H43" i="16" s="1"/>
  <c r="C43" i="16" s="1"/>
  <c r="B45" i="16" l="1"/>
  <c r="G44" i="16"/>
  <c r="H44" i="16" s="1"/>
  <c r="F44" i="16"/>
  <c r="E44" i="16"/>
  <c r="C44" i="16" l="1"/>
  <c r="E45" i="16"/>
  <c r="B46" i="16"/>
  <c r="F45" i="16"/>
  <c r="G45" i="16"/>
  <c r="H45" i="16" s="1"/>
  <c r="C45" i="16" s="1"/>
  <c r="E46" i="16" l="1"/>
  <c r="G46" i="16"/>
  <c r="H46" i="16" s="1"/>
  <c r="C46" i="16" s="1"/>
  <c r="B47" i="16"/>
  <c r="F46" i="16"/>
  <c r="B48" i="16" l="1"/>
  <c r="E47" i="16"/>
  <c r="G47" i="16"/>
  <c r="H47" i="16" s="1"/>
  <c r="C47" i="16" s="1"/>
  <c r="F47" i="16"/>
  <c r="G48" i="16" l="1"/>
  <c r="H48" i="16" s="1"/>
  <c r="B49" i="16"/>
  <c r="F48" i="16"/>
  <c r="E48" i="16"/>
  <c r="F49" i="16" l="1"/>
  <c r="E49" i="16"/>
  <c r="B50" i="16"/>
  <c r="G49" i="16"/>
  <c r="H49" i="16" s="1"/>
  <c r="C49" i="16" s="1"/>
  <c r="C48" i="16"/>
  <c r="F50" i="16" l="1"/>
  <c r="G50" i="16"/>
  <c r="H50" i="16" s="1"/>
  <c r="C50" i="16" s="1"/>
  <c r="B51" i="16"/>
  <c r="E50" i="16"/>
  <c r="E51" i="16" l="1"/>
  <c r="B52" i="16"/>
  <c r="F51" i="16"/>
  <c r="G51" i="16"/>
  <c r="H51" i="16" s="1"/>
  <c r="C51" i="16" s="1"/>
  <c r="E52" i="16" l="1"/>
  <c r="F52" i="16"/>
  <c r="G52" i="16"/>
  <c r="H52" i="16" s="1"/>
  <c r="C52" i="16" s="1"/>
  <c r="B53" i="16"/>
  <c r="B54" i="16" l="1"/>
  <c r="F53" i="16"/>
  <c r="E53" i="16"/>
  <c r="G53" i="16"/>
  <c r="H53" i="16" s="1"/>
  <c r="C53" i="16" s="1"/>
  <c r="F54" i="16" l="1"/>
  <c r="E54" i="16"/>
  <c r="G54" i="16"/>
  <c r="H54" i="16" s="1"/>
  <c r="C54" i="16" s="1"/>
  <c r="B55" i="16"/>
  <c r="F55" i="16" l="1"/>
  <c r="E55" i="16"/>
  <c r="B56" i="16"/>
  <c r="G55" i="16"/>
  <c r="H55" i="16" s="1"/>
  <c r="C55" i="16" s="1"/>
  <c r="E56" i="16" l="1"/>
  <c r="G56" i="16"/>
  <c r="H56" i="16" s="1"/>
  <c r="F56" i="16"/>
  <c r="B57" i="16"/>
  <c r="F57" i="16" l="1"/>
  <c r="AP25" i="29"/>
  <c r="AQ25" i="29" s="1"/>
  <c r="AR25" i="29" s="1"/>
  <c r="G57" i="16"/>
  <c r="H57" i="16" s="1"/>
  <c r="B58" i="16"/>
  <c r="AP17" i="29"/>
  <c r="AQ17" i="29" s="1"/>
  <c r="AR17" i="29" s="1"/>
  <c r="E57" i="16"/>
  <c r="AP13" i="29"/>
  <c r="AQ13" i="29" s="1"/>
  <c r="AR13" i="29" s="1"/>
  <c r="AP21" i="29"/>
  <c r="AQ21" i="29" s="1"/>
  <c r="AR21" i="29" s="1"/>
  <c r="C56" i="16"/>
  <c r="C57" i="16" l="1"/>
  <c r="G58" i="16"/>
  <c r="H58" i="16" s="1"/>
  <c r="F58" i="16"/>
  <c r="B59" i="16"/>
  <c r="E58" i="16"/>
  <c r="E59" i="16" l="1"/>
  <c r="F59" i="16"/>
  <c r="B60" i="16"/>
  <c r="G59" i="16"/>
  <c r="H59" i="16" s="1"/>
  <c r="C59" i="16" s="1"/>
  <c r="C58" i="16"/>
  <c r="E60" i="16" l="1"/>
  <c r="F60" i="16"/>
  <c r="B61" i="16"/>
  <c r="G60" i="16"/>
  <c r="H60" i="16" s="1"/>
  <c r="C60" i="16" s="1"/>
  <c r="E61" i="16" l="1"/>
  <c r="G61" i="16"/>
  <c r="H61" i="16" s="1"/>
  <c r="C61" i="16" s="1"/>
  <c r="F61" i="16"/>
  <c r="B62" i="16"/>
  <c r="G62" i="16" l="1"/>
  <c r="H62" i="16" s="1"/>
  <c r="E62" i="16"/>
  <c r="F62" i="16"/>
  <c r="B63" i="16"/>
  <c r="C62" i="16" l="1"/>
  <c r="B64" i="16"/>
  <c r="E63" i="16"/>
  <c r="F63" i="16"/>
  <c r="G63" i="16"/>
  <c r="H63" i="16" s="1"/>
  <c r="C63" i="16" l="1"/>
  <c r="E64" i="16"/>
  <c r="F64" i="16"/>
  <c r="B65" i="16"/>
  <c r="G64" i="16"/>
  <c r="H64" i="16" s="1"/>
  <c r="C64" i="16" s="1"/>
  <c r="F65" i="16" l="1"/>
  <c r="E65" i="16"/>
  <c r="G65" i="16"/>
  <c r="H65" i="16" s="1"/>
  <c r="C65" i="16" s="1"/>
  <c r="B66" i="16"/>
  <c r="G66" i="16" l="1"/>
  <c r="H66" i="16" s="1"/>
  <c r="B67" i="16"/>
  <c r="F66" i="16"/>
  <c r="E66" i="16"/>
  <c r="G67" i="16" l="1"/>
  <c r="H67" i="16" s="1"/>
  <c r="B68" i="16"/>
  <c r="F67" i="16"/>
  <c r="E67" i="16"/>
  <c r="C66" i="16"/>
  <c r="C67" i="16" l="1"/>
  <c r="E68" i="16"/>
  <c r="G68" i="16"/>
  <c r="H68" i="16" s="1"/>
  <c r="C68" i="16" s="1"/>
  <c r="F68" i="16"/>
  <c r="B69" i="16"/>
  <c r="F69" i="16" l="1"/>
  <c r="E69" i="16"/>
  <c r="G69" i="16"/>
  <c r="H69" i="16"/>
  <c r="B70" i="16"/>
  <c r="C69" i="16"/>
  <c r="E70" i="16" l="1"/>
  <c r="G70" i="16"/>
  <c r="H70" i="16" s="1"/>
  <c r="C70" i="16" s="1"/>
  <c r="F70" i="16"/>
  <c r="B71" i="16"/>
  <c r="B72" i="16" l="1"/>
  <c r="E71" i="16"/>
  <c r="G71" i="16"/>
  <c r="H71" i="16" s="1"/>
  <c r="C71" i="16" s="1"/>
  <c r="F71" i="16"/>
  <c r="F72" i="16" l="1"/>
  <c r="G72" i="16"/>
  <c r="H72" i="16" s="1"/>
  <c r="B73" i="16"/>
  <c r="E72" i="16"/>
  <c r="C72" i="16" l="1"/>
  <c r="F73" i="16"/>
  <c r="E73" i="16"/>
  <c r="B74" i="16"/>
  <c r="G73" i="16"/>
  <c r="H73" i="16" s="1"/>
  <c r="C73" i="16" s="1"/>
  <c r="B75" i="16" l="1"/>
  <c r="F74" i="16"/>
  <c r="G74" i="16"/>
  <c r="E74" i="16"/>
  <c r="H74" i="16"/>
  <c r="C74" i="16" l="1"/>
  <c r="E75" i="16"/>
  <c r="B76" i="16"/>
  <c r="G75" i="16"/>
  <c r="H75" i="16" s="1"/>
  <c r="C75" i="16" s="1"/>
  <c r="F75" i="16"/>
  <c r="E76" i="16" l="1"/>
  <c r="F76" i="16"/>
  <c r="G76" i="16"/>
  <c r="H76" i="16" s="1"/>
  <c r="C76" i="16" s="1"/>
  <c r="B77" i="16"/>
  <c r="B78" i="16" l="1"/>
  <c r="E77" i="16"/>
  <c r="F77" i="16"/>
  <c r="G77" i="16"/>
  <c r="H77" i="16" s="1"/>
  <c r="C77" i="16" s="1"/>
  <c r="F78" i="16" l="1"/>
  <c r="B79" i="16"/>
  <c r="E78" i="16"/>
  <c r="G78" i="16"/>
  <c r="H78" i="16" s="1"/>
  <c r="C78" i="16" s="1"/>
  <c r="AP23" i="29" l="1"/>
  <c r="AQ23" i="29" s="1"/>
  <c r="AR23" i="29" s="1"/>
  <c r="AP18" i="29"/>
  <c r="AQ18" i="29" s="1"/>
  <c r="AR18" i="29" s="1"/>
  <c r="AP26" i="29"/>
  <c r="AQ26" i="29" s="1"/>
  <c r="AR26" i="29" s="1"/>
  <c r="G79" i="16"/>
  <c r="H79" i="16" s="1"/>
  <c r="AP19" i="29"/>
  <c r="AQ19" i="29" s="1"/>
  <c r="AR19" i="29" s="1"/>
  <c r="AP27" i="29"/>
  <c r="AQ27" i="29" s="1"/>
  <c r="AR27" i="29" s="1"/>
  <c r="AP22" i="29"/>
  <c r="AQ22" i="29" s="1"/>
  <c r="AR22" i="29" s="1"/>
  <c r="E79" i="16"/>
  <c r="AP15" i="29"/>
  <c r="AQ15" i="29" s="1"/>
  <c r="AR15" i="29" s="1"/>
  <c r="B80" i="16"/>
  <c r="F79" i="16"/>
  <c r="AP14" i="29"/>
  <c r="AQ14" i="29" s="1"/>
  <c r="AR14" i="29" s="1"/>
  <c r="C79" i="16" l="1"/>
  <c r="F80" i="16"/>
  <c r="E80" i="16"/>
  <c r="G80" i="16"/>
  <c r="B81" i="16"/>
  <c r="H80" i="16"/>
  <c r="C80" i="16" s="1"/>
  <c r="G81" i="16" l="1"/>
  <c r="H81" i="16" s="1"/>
  <c r="E81" i="16"/>
  <c r="F81" i="16"/>
  <c r="B82" i="16"/>
  <c r="F82" i="16" l="1"/>
  <c r="B83" i="16"/>
  <c r="G82" i="16"/>
  <c r="E82" i="16"/>
  <c r="H82" i="16"/>
  <c r="C82" i="16" s="1"/>
  <c r="C81" i="16"/>
  <c r="B84" i="16" l="1"/>
  <c r="G83" i="16"/>
  <c r="H83" i="16" s="1"/>
  <c r="E83" i="16"/>
  <c r="F83" i="16"/>
  <c r="C83" i="16" l="1"/>
  <c r="E84" i="16"/>
  <c r="B85" i="16"/>
  <c r="F84" i="16"/>
  <c r="G84" i="16"/>
  <c r="H84" i="16" s="1"/>
  <c r="C84" i="16" s="1"/>
  <c r="F85" i="16" l="1"/>
  <c r="B86" i="16"/>
  <c r="C85" i="16"/>
  <c r="G85" i="16"/>
  <c r="H85" i="16" s="1"/>
  <c r="E85" i="16"/>
  <c r="F86" i="16" l="1"/>
  <c r="B87" i="16"/>
  <c r="E86" i="16"/>
  <c r="G86" i="16"/>
  <c r="H86" i="16" s="1"/>
  <c r="C86" i="16"/>
  <c r="G87" i="16" l="1"/>
  <c r="H87" i="16" s="1"/>
  <c r="B88" i="16"/>
  <c r="C87" i="16"/>
  <c r="E87" i="16"/>
  <c r="F87" i="16"/>
  <c r="C88" i="16" l="1"/>
  <c r="F88" i="16"/>
  <c r="E88" i="16"/>
  <c r="B89" i="16"/>
  <c r="G88" i="16"/>
  <c r="H88" i="16" s="1"/>
  <c r="C89" i="16" l="1"/>
  <c r="B90" i="16"/>
  <c r="G89" i="16"/>
  <c r="H89" i="16" s="1"/>
  <c r="F89" i="16"/>
  <c r="E89" i="16"/>
  <c r="B91" i="16" l="1"/>
  <c r="E90" i="16"/>
  <c r="C90" i="16"/>
  <c r="F90" i="16"/>
  <c r="G90" i="16"/>
  <c r="H90" i="16" s="1"/>
  <c r="C91" i="16" l="1"/>
  <c r="G91" i="16"/>
  <c r="H91" i="16" s="1"/>
  <c r="E91" i="16"/>
  <c r="F91" i="16"/>
  <c r="B92" i="16"/>
  <c r="G92" i="16" l="1"/>
  <c r="H92" i="16" s="1"/>
  <c r="E92" i="16"/>
  <c r="C92" i="16"/>
  <c r="F92" i="16"/>
  <c r="B93" i="16"/>
  <c r="G93" i="16" l="1"/>
  <c r="H93" i="16" s="1"/>
  <c r="C93" i="16"/>
  <c r="F93" i="16"/>
  <c r="B94" i="16"/>
  <c r="E93" i="16"/>
  <c r="G94" i="16" l="1"/>
  <c r="H94" i="16" s="1"/>
  <c r="C94" i="16"/>
  <c r="F94" i="16"/>
  <c r="B95" i="16"/>
  <c r="E94" i="16"/>
  <c r="B96" i="16" l="1"/>
  <c r="G95" i="16"/>
  <c r="C95" i="16"/>
  <c r="F95" i="16"/>
  <c r="H95" i="16"/>
  <c r="E95" i="16"/>
  <c r="C96" i="16" l="1"/>
  <c r="F96" i="16"/>
  <c r="G96" i="16"/>
  <c r="H96" i="16" s="1"/>
  <c r="E96" i="16"/>
  <c r="B97" i="16"/>
  <c r="C97" i="16" l="1"/>
  <c r="G97" i="16"/>
  <c r="H97" i="16" s="1"/>
  <c r="E97" i="16"/>
  <c r="B98" i="16"/>
  <c r="F97" i="16"/>
  <c r="E98" i="16" l="1"/>
  <c r="B99" i="16"/>
  <c r="F98" i="16"/>
  <c r="G98" i="16"/>
  <c r="H98" i="16" s="1"/>
  <c r="C98" i="16"/>
  <c r="G99" i="16" l="1"/>
  <c r="H99" i="16" s="1"/>
  <c r="C99" i="16"/>
  <c r="F99" i="16"/>
  <c r="E99" i="16"/>
  <c r="B100" i="16"/>
  <c r="F100" i="16" l="1"/>
  <c r="E100" i="16"/>
  <c r="G100" i="16"/>
  <c r="H100" i="16" s="1"/>
  <c r="C100" i="16"/>
  <c r="AP30" i="29"/>
  <c r="AQ30" i="29" s="1"/>
  <c r="AR30" i="29" s="1"/>
  <c r="AP20" i="29"/>
  <c r="AQ20" i="29" s="1"/>
  <c r="AR20" i="29" s="1"/>
  <c r="AP16" i="29"/>
  <c r="AQ16" i="29" s="1"/>
  <c r="AR16" i="29" s="1"/>
  <c r="AP24" i="29"/>
  <c r="AQ24" i="29" s="1"/>
  <c r="AR24" i="29" s="1"/>
  <c r="AR32"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Takamori, Michael@DOC</author>
    <author>Omoeko Omoeko</author>
  </authors>
  <commentList>
    <comment ref="B4" authorId="0" shapeId="0" xr:uid="{BC0B2024-9774-47A5-9544-7CE712ED2260}">
      <text>
        <r>
          <rPr>
            <b/>
            <sz val="9"/>
            <color indexed="81"/>
            <rFont val="Tahoma"/>
            <family val="2"/>
          </rPr>
          <t>Measured depth of the well, reduced by the length of any portion of the wellbore partially plugged consistent with the requirements of Section 1752</t>
        </r>
      </text>
    </comment>
    <comment ref="B6" authorId="0" shapeId="0" xr:uid="{FE2B7E93-99C9-45D0-BBE8-B20F38DF32B1}">
      <text>
        <r>
          <rPr>
            <b/>
            <sz val="9"/>
            <color indexed="81"/>
            <rFont val="Tahoma"/>
            <family val="2"/>
          </rPr>
          <t>Number of casing strings, including the conductor</t>
        </r>
        <r>
          <rPr>
            <sz val="9"/>
            <color indexed="81"/>
            <rFont val="Tahoma"/>
            <family val="2"/>
          </rPr>
          <t xml:space="preserve">
</t>
        </r>
      </text>
    </comment>
    <comment ref="Q24" authorId="1" shapeId="0" xr:uid="{8A678980-752B-40D0-8C59-77B1E06BDF51}">
      <text>
        <r>
          <rPr>
            <b/>
            <sz val="9"/>
            <color indexed="81"/>
            <rFont val="Tahoma"/>
            <family val="2"/>
          </rPr>
          <t>Omoeko Omoeko:</t>
        </r>
        <r>
          <rPr>
            <sz val="9"/>
            <color indexed="81"/>
            <rFont val="Tahoma"/>
            <family val="2"/>
          </rPr>
          <t xml:space="preserve">
Develop another scoring factor using Well Depth and Casing String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Takamori, Michael@DOC</author>
  </authors>
  <commentList>
    <comment ref="M10" authorId="0" shapeId="0" xr:uid="{903C2DA9-95F6-404A-B9EB-1740F9FF5BF7}">
      <text>
        <r>
          <rPr>
            <b/>
            <sz val="9"/>
            <color indexed="81"/>
            <rFont val="Tahoma"/>
            <family val="2"/>
          </rPr>
          <t>Measured depth of the well, reduced by the length of any portion of the wellbore partially plugged consistent with the requirements of Section 1752</t>
        </r>
      </text>
    </comment>
    <comment ref="Q10" authorId="0" shapeId="0" xr:uid="{EAF26389-9B08-48CC-AC77-5C7B61E54497}">
      <text>
        <r>
          <rPr>
            <b/>
            <sz val="9"/>
            <color indexed="81"/>
            <rFont val="Tahoma"/>
            <family val="2"/>
          </rPr>
          <t xml:space="preserve">Age of the well, calculated from the spud date </t>
        </r>
      </text>
    </comment>
    <comment ref="U10" authorId="0" shapeId="0" xr:uid="{8EB6572C-9684-4684-83A1-605BD3368336}">
      <text>
        <r>
          <rPr>
            <b/>
            <sz val="9"/>
            <color indexed="81"/>
            <rFont val="Tahoma"/>
            <family val="2"/>
          </rPr>
          <t>Number of casing strings, including the conductor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Takamori, Michael@DOC</author>
  </authors>
  <commentList>
    <comment ref="Q47" authorId="0" shapeId="0" xr:uid="{121AA033-19F7-453F-A5AB-D440E86BA5AA}">
      <text>
        <r>
          <rPr>
            <b/>
            <sz val="9"/>
            <color indexed="81"/>
            <rFont val="Tahoma"/>
            <family val="2"/>
          </rPr>
          <t>Enter Cost into Column "N" in the EDD Template for applicable Facilities type: Setting, Sump, Pipeline, etc.</t>
        </r>
        <r>
          <rPr>
            <sz val="9"/>
            <color indexed="81"/>
            <rFont val="Tahoma"/>
            <family val="2"/>
          </rPr>
          <t xml:space="preserve">
</t>
        </r>
      </text>
    </comment>
    <comment ref="Q48" authorId="0" shapeId="0" xr:uid="{BA393BF1-738B-4C7D-A55E-2CD451821325}">
      <text>
        <r>
          <rPr>
            <b/>
            <sz val="9"/>
            <color indexed="81"/>
            <rFont val="Tahoma"/>
            <family val="2"/>
          </rPr>
          <t>Enter Cost into Column "O" in the EDD Template for applicable Facilities type: Setting, Sump, Pipeline, etc.</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Takamori, Michael@DOC</author>
  </authors>
  <commentList>
    <comment ref="B9" authorId="0" shapeId="0" xr:uid="{CF42C98D-1D56-4A01-80A8-8B8FEC6CE3CF}">
      <text>
        <r>
          <rPr>
            <b/>
            <sz val="9"/>
            <color indexed="81"/>
            <rFont val="Tahoma"/>
            <family val="2"/>
          </rPr>
          <t>Field Name from the EDD Template.</t>
        </r>
      </text>
    </comment>
    <comment ref="C9" authorId="0" shapeId="0" xr:uid="{5F921DCF-091C-4B0C-A2AC-1CE83538C94C}">
      <text>
        <r>
          <rPr>
            <b/>
            <sz val="9"/>
            <color indexed="81"/>
            <rFont val="Tahoma"/>
            <family val="2"/>
          </rPr>
          <t>Lease Name from the EDD template.</t>
        </r>
      </text>
    </comment>
    <comment ref="D9" authorId="0" shapeId="0" xr:uid="{1F7E1818-783C-4AD3-8E22-3CF11EB99254}">
      <text>
        <r>
          <rPr>
            <b/>
            <sz val="9"/>
            <color indexed="81"/>
            <rFont val="Tahoma"/>
            <family val="2"/>
          </rPr>
          <t>Well Type (Subject) from the EDD template</t>
        </r>
      </text>
    </comment>
    <comment ref="E9" authorId="0" shapeId="0" xr:uid="{FA8A4948-1AAA-4ED6-8DAF-950A8F094EED}">
      <text>
        <r>
          <rPr>
            <b/>
            <sz val="9"/>
            <color indexed="81"/>
            <rFont val="Tahoma"/>
            <family val="2"/>
          </rPr>
          <t>Well API Number</t>
        </r>
      </text>
    </comment>
    <comment ref="G9" authorId="0" shapeId="0" xr:uid="{B93DCF68-8465-4AC6-AEEC-80B154D1E6C7}">
      <text>
        <r>
          <rPr>
            <b/>
            <sz val="9"/>
            <color indexed="81"/>
            <rFont val="Tahoma"/>
            <family val="2"/>
          </rPr>
          <t>Remove and dispose of above-ground pipelines: transmission, flowline, injection, gathering lines, vent, process piping.</t>
        </r>
        <r>
          <rPr>
            <sz val="9"/>
            <color indexed="81"/>
            <rFont val="Tahoma"/>
            <family val="2"/>
          </rPr>
          <t xml:space="preserve">
</t>
        </r>
      </text>
    </comment>
    <comment ref="H9" authorId="0" shapeId="0" xr:uid="{C66DFD83-28E8-4DD8-B38D-24418AEA4748}">
      <text>
        <r>
          <rPr>
            <b/>
            <sz val="9"/>
            <color indexed="81"/>
            <rFont val="Tahoma"/>
            <family val="2"/>
          </rPr>
          <t>Any remaining buried pipelines must be purged, filled with an inert fluid, and capped.</t>
        </r>
      </text>
    </comment>
    <comment ref="I9" authorId="0" shapeId="0" xr:uid="{455DDB21-4F25-497B-A9C7-3DDF231006FE}">
      <text>
        <r>
          <rPr>
            <b/>
            <sz val="9"/>
            <color indexed="81"/>
            <rFont val="Tahoma"/>
            <family val="2"/>
          </rPr>
          <t>Remove and dispose of electrical equipment: poles, transformers, switchgear, cables, wires, conduit, switches, monitoring equipment.</t>
        </r>
        <r>
          <rPr>
            <sz val="9"/>
            <color indexed="81"/>
            <rFont val="Tahoma"/>
            <family val="2"/>
          </rPr>
          <t xml:space="preserve">
</t>
        </r>
      </text>
    </comment>
    <comment ref="J9" authorId="0" shapeId="0" xr:uid="{5C87CE00-A6CF-41E6-AEBF-702E50BBA2B8}">
      <text>
        <r>
          <rPr>
            <b/>
            <sz val="9"/>
            <color indexed="81"/>
            <rFont val="Tahoma"/>
            <family val="2"/>
          </rPr>
          <t>Remove and dispose of concrete pads and asphalt.</t>
        </r>
        <r>
          <rPr>
            <sz val="9"/>
            <color indexed="81"/>
            <rFont val="Tahoma"/>
            <family val="2"/>
          </rPr>
          <t xml:space="preserve">
</t>
        </r>
      </text>
    </comment>
    <comment ref="K9" authorId="0" shapeId="0" xr:uid="{3C248FEE-5F7F-404F-BE48-BE8E18B55323}">
      <text>
        <r>
          <rPr>
            <b/>
            <sz val="9"/>
            <color indexed="81"/>
            <rFont val="Tahoma"/>
            <family val="2"/>
          </rPr>
          <t>Remove and dispose of pumps.</t>
        </r>
      </text>
    </comment>
    <comment ref="M9" authorId="0" shapeId="0" xr:uid="{BFD85A11-A4AF-4D7E-BBC2-449F63DA0133}">
      <text>
        <r>
          <rPr>
            <b/>
            <sz val="9"/>
            <color indexed="81"/>
            <rFont val="Tahoma"/>
            <family val="2"/>
          </rPr>
          <t>Site remediation for the area around a wellhead including soil excavation &amp; disposal, waste removal, site restoration, and access road removal.</t>
        </r>
      </text>
    </comment>
    <comment ref="N9" authorId="0" shapeId="0" xr:uid="{354D4545-9896-43B4-9E8F-DA2034AE8A3F}">
      <text>
        <r>
          <rPr>
            <b/>
            <sz val="9"/>
            <color indexed="81"/>
            <rFont val="Tahoma"/>
            <family val="2"/>
          </rPr>
          <t>Remove and dispose of well cellars.</t>
        </r>
      </text>
    </comment>
    <comment ref="O9" authorId="0" shapeId="0" xr:uid="{EDE0050F-D3C5-41DD-BFF8-01B567D47E1F}">
      <text>
        <r>
          <rPr>
            <b/>
            <sz val="9"/>
            <color indexed="81"/>
            <rFont val="Tahoma"/>
            <family val="2"/>
          </rPr>
          <t>Remove and dispose of all refuse, trash, debris, construction materials, production pads, piers, fencing outside the area of a wellhead but within a well site.</t>
        </r>
      </text>
    </comment>
    <comment ref="Q9" authorId="0" shapeId="0" xr:uid="{6ED2DCE9-98A1-41B8-A078-C6342760DC76}">
      <text>
        <r>
          <rPr>
            <b/>
            <sz val="9"/>
            <color indexed="81"/>
            <rFont val="Tahoma"/>
            <family val="2"/>
          </rPr>
          <t>Contingency calculated from the Contingency tab.</t>
        </r>
      </text>
    </comment>
    <comment ref="R9" authorId="0" shapeId="0" xr:uid="{163A3BAD-50FD-47B9-9371-2DFB8B627712}">
      <text>
        <r>
          <rPr>
            <b/>
            <sz val="9"/>
            <color indexed="81"/>
            <rFont val="Tahoma"/>
            <family val="2"/>
          </rPr>
          <t>Activities including permitting, soil sampling, fluid sampling, surveys, and other work required to comply with Public Resources Code and California Code of Regulations.</t>
        </r>
        <r>
          <rPr>
            <sz val="9"/>
            <color indexed="81"/>
            <rFont val="Tahoma"/>
            <family val="2"/>
          </rPr>
          <t xml:space="preserve">
</t>
        </r>
      </text>
    </comment>
    <comment ref="S9" authorId="0" shapeId="0" xr:uid="{5F011D40-B9E4-49DC-BD30-9FA4EB66C4E7}">
      <text>
        <r>
          <rPr>
            <b/>
            <sz val="9"/>
            <color indexed="81"/>
            <rFont val="Tahoma"/>
            <family val="2"/>
          </rPr>
          <t>Activities including preparation work and operations necessary for the movement of equipment, supplies and personnel to and from the site.</t>
        </r>
      </text>
    </comment>
    <comment ref="T9" authorId="0" shapeId="0" xr:uid="{B102EF6E-8576-45F0-A1AB-11D3CA4F7351}">
      <text>
        <r>
          <rPr>
            <b/>
            <sz val="9"/>
            <color indexed="81"/>
            <rFont val="Tahoma"/>
            <family val="2"/>
          </rPr>
          <t>Activities including project management, engineering design, planning, and reporting, etc.</t>
        </r>
      </text>
    </comment>
    <comment ref="W9" authorId="0" shapeId="0" xr:uid="{0969D7B1-9D04-4B81-8A11-59081E1D224C}">
      <text>
        <r>
          <rPr>
            <b/>
            <sz val="9"/>
            <color indexed="81"/>
            <rFont val="Tahoma"/>
            <family val="2"/>
          </rPr>
          <t>Enter Cost into Column "O" in the EDD Template for applicable Well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Takamori, Michael@DOC</author>
  </authors>
  <commentList>
    <comment ref="B9" authorId="0" shapeId="0" xr:uid="{34619335-87C1-43AC-B678-8A5F9B466A7E}">
      <text>
        <r>
          <rPr>
            <b/>
            <sz val="9"/>
            <color indexed="81"/>
            <rFont val="Tahoma"/>
            <family val="2"/>
          </rPr>
          <t>Field Name from the EDD Template.</t>
        </r>
      </text>
    </comment>
    <comment ref="C9" authorId="0" shapeId="0" xr:uid="{A4142860-90FF-4AFC-8AAA-958BB64BC83A}">
      <text>
        <r>
          <rPr>
            <b/>
            <sz val="9"/>
            <color indexed="81"/>
            <rFont val="Tahoma"/>
            <family val="2"/>
          </rPr>
          <t>Lease Name from the EDD template.</t>
        </r>
      </text>
    </comment>
    <comment ref="D9" authorId="0" shapeId="0" xr:uid="{886100FC-F5F3-47A1-831F-BF4D4184D42F}">
      <text>
        <r>
          <rPr>
            <b/>
            <sz val="9"/>
            <color indexed="81"/>
            <rFont val="Tahoma"/>
            <family val="2"/>
          </rPr>
          <t>Facility Type (Subject) from the EDD template</t>
        </r>
      </text>
    </comment>
    <comment ref="E9" authorId="0" shapeId="0" xr:uid="{7599E48B-A317-4B75-AB0E-20619B7706B0}">
      <text>
        <r>
          <rPr>
            <b/>
            <sz val="9"/>
            <color indexed="81"/>
            <rFont val="Tahoma"/>
            <family val="2"/>
          </rPr>
          <t>Subject ID for each Facility type from the EDD template.</t>
        </r>
      </text>
    </comment>
    <comment ref="G9" authorId="0" shapeId="0" xr:uid="{94BBC018-905E-4A80-B07D-F43845EACECF}">
      <text>
        <r>
          <rPr>
            <b/>
            <sz val="9"/>
            <color indexed="81"/>
            <rFont val="Tahoma"/>
            <family val="2"/>
          </rPr>
          <t>Remove and dispose of tanks: stock, wash, produced water, storage.</t>
        </r>
      </text>
    </comment>
    <comment ref="H9" authorId="0" shapeId="0" xr:uid="{E312852D-C0C8-49BB-9B27-A15E5004D9E9}">
      <text>
        <r>
          <rPr>
            <b/>
            <sz val="9"/>
            <color indexed="81"/>
            <rFont val="Tahoma"/>
            <family val="2"/>
          </rPr>
          <t>Remove and dispose of tanks: stock, wash, produced water, storage.</t>
        </r>
      </text>
    </comment>
    <comment ref="I9" authorId="0" shapeId="0" xr:uid="{5834CAA8-F78B-448C-84D8-5F73F6B8A81F}">
      <text>
        <r>
          <rPr>
            <b/>
            <sz val="9"/>
            <color indexed="81"/>
            <rFont val="Tahoma"/>
            <family val="2"/>
          </rPr>
          <t>Remove and dispose of tanks: stock, wash, produced water, storage.</t>
        </r>
      </text>
    </comment>
    <comment ref="J9" authorId="0" shapeId="0" xr:uid="{6A13E6D0-6C54-4B3A-B543-C840119275A6}">
      <text>
        <r>
          <rPr>
            <b/>
            <sz val="9"/>
            <color indexed="81"/>
            <rFont val="Tahoma"/>
            <family val="2"/>
          </rPr>
          <t>Remove and dispose of tanks: stock, wash, produced water, storage.</t>
        </r>
      </text>
    </comment>
    <comment ref="K9" authorId="0" shapeId="0" xr:uid="{DFB01B35-DE5E-432B-9A49-AC8E0425C0CE}">
      <text>
        <r>
          <rPr>
            <b/>
            <sz val="9"/>
            <color indexed="81"/>
            <rFont val="Tahoma"/>
            <family val="2"/>
          </rPr>
          <t>Remove and dispose of vessels: separators, free-water knockouts, heater-treaters, boilers, steam-generators.</t>
        </r>
      </text>
    </comment>
    <comment ref="L9" authorId="0" shapeId="0" xr:uid="{CE3B3061-85B5-4E37-83D7-B82346438F6C}">
      <text>
        <r>
          <rPr>
            <b/>
            <sz val="9"/>
            <color indexed="81"/>
            <rFont val="Tahoma"/>
            <family val="2"/>
          </rPr>
          <t>Remove and dispose of above-ground pipelines: transmission, flowline, injection, gathering lines, vent, process piping.</t>
        </r>
        <r>
          <rPr>
            <sz val="9"/>
            <color indexed="81"/>
            <rFont val="Tahoma"/>
            <family val="2"/>
          </rPr>
          <t xml:space="preserve">
</t>
        </r>
      </text>
    </comment>
    <comment ref="M9" authorId="0" shapeId="0" xr:uid="{8FEFEB3D-9B8B-4F41-AD9F-C5632141BA65}">
      <text>
        <r>
          <rPr>
            <b/>
            <sz val="9"/>
            <color indexed="81"/>
            <rFont val="Tahoma"/>
            <family val="2"/>
          </rPr>
          <t>Any remaining buried pipelines must be purged, filled with an inert fluid, and capped.</t>
        </r>
      </text>
    </comment>
    <comment ref="N9" authorId="0" shapeId="0" xr:uid="{3F0A050F-76A0-422D-9DB0-D706D9683500}">
      <text>
        <r>
          <rPr>
            <b/>
            <sz val="9"/>
            <color indexed="81"/>
            <rFont val="Tahoma"/>
            <family val="2"/>
          </rPr>
          <t>Remove and dispose of electrical equipment: poles, transformers, switchgear, cables, wires, conduit, switches, monitoring equipment.</t>
        </r>
        <r>
          <rPr>
            <sz val="9"/>
            <color indexed="81"/>
            <rFont val="Tahoma"/>
            <family val="2"/>
          </rPr>
          <t xml:space="preserve">
</t>
        </r>
      </text>
    </comment>
    <comment ref="O9" authorId="0" shapeId="0" xr:uid="{3650765D-1D66-4E90-82EF-6DA09C129366}">
      <text>
        <r>
          <rPr>
            <b/>
            <sz val="9"/>
            <color indexed="81"/>
            <rFont val="Tahoma"/>
            <family val="2"/>
          </rPr>
          <t>Remove and dispose of concrete pads and asphalt.</t>
        </r>
        <r>
          <rPr>
            <sz val="9"/>
            <color indexed="81"/>
            <rFont val="Tahoma"/>
            <family val="2"/>
          </rPr>
          <t xml:space="preserve">
</t>
        </r>
      </text>
    </comment>
    <comment ref="P9" authorId="0" shapeId="0" xr:uid="{1CB1820D-1BFF-4C01-AB1C-E2E4BD69ED99}">
      <text>
        <r>
          <rPr>
            <b/>
            <sz val="9"/>
            <color indexed="81"/>
            <rFont val="Tahoma"/>
            <family val="2"/>
          </rPr>
          <t>Remove and dispose of pumps and compressors.</t>
        </r>
      </text>
    </comment>
    <comment ref="Q9" authorId="0" shapeId="0" xr:uid="{D8DCA5DC-DFBA-4616-9E16-D30CDA60583B}">
      <text>
        <r>
          <rPr>
            <b/>
            <sz val="9"/>
            <color indexed="81"/>
            <rFont val="Tahoma"/>
            <family val="2"/>
          </rPr>
          <t>Remove and dispose of buildings, walls, and supporting equipment.</t>
        </r>
      </text>
    </comment>
    <comment ref="S9" authorId="0" shapeId="0" xr:uid="{EFA47B90-9077-42CC-9582-B9EC6D5DDF04}">
      <text>
        <r>
          <rPr>
            <b/>
            <sz val="9"/>
            <color indexed="81"/>
            <rFont val="Tahoma"/>
            <family val="2"/>
          </rPr>
          <t>Site remediation for a tank including soil excavation &amp; disposal, refuse removal, secondary containment removal, and site restoration.</t>
        </r>
      </text>
    </comment>
    <comment ref="T9" authorId="0" shapeId="0" xr:uid="{A50E451C-A671-4943-AFAB-0815A1FF7213}">
      <text>
        <r>
          <rPr>
            <b/>
            <sz val="9"/>
            <color indexed="81"/>
            <rFont val="Tahoma"/>
            <family val="2"/>
          </rPr>
          <t>Site remediation for a tank including soil excavation &amp; disposal, refuse removal, secondary containment removal, and site restoration.</t>
        </r>
      </text>
    </comment>
    <comment ref="U9" authorId="0" shapeId="0" xr:uid="{30B60C3A-419A-46FA-B926-8128FF96654D}">
      <text>
        <r>
          <rPr>
            <b/>
            <sz val="9"/>
            <color indexed="81"/>
            <rFont val="Tahoma"/>
            <family val="2"/>
          </rPr>
          <t>Site remediation for a tank including soil excavation &amp; disposal, refuse removal, secondary containment removal, and site restoration.</t>
        </r>
      </text>
    </comment>
    <comment ref="V9" authorId="0" shapeId="0" xr:uid="{683BCAB4-07B2-456B-A22B-04B8A7F8F1C4}">
      <text>
        <r>
          <rPr>
            <b/>
            <sz val="9"/>
            <color indexed="81"/>
            <rFont val="Tahoma"/>
            <family val="2"/>
          </rPr>
          <t>Site remediation for a tank including soil excavation &amp; disposal, refuse removal, secondary containment removal, and site restoration.</t>
        </r>
      </text>
    </comment>
    <comment ref="W9" authorId="0" shapeId="0" xr:uid="{5FA5D3F2-DA1F-46C1-8F85-1014B2EACA3B}">
      <text>
        <r>
          <rPr>
            <b/>
            <sz val="9"/>
            <color indexed="81"/>
            <rFont val="Tahoma"/>
            <family val="2"/>
          </rPr>
          <t>Site remediation for a vessel including soil excavation &amp; disposal, refuse removal, secondary containment removal, and site restoration.</t>
        </r>
      </text>
    </comment>
    <comment ref="X9" authorId="0" shapeId="0" xr:uid="{CF6AEC6C-5879-4510-AB22-E4943123A3EC}">
      <text>
        <r>
          <rPr>
            <b/>
            <sz val="9"/>
            <color indexed="81"/>
            <rFont val="Tahoma"/>
            <family val="2"/>
          </rPr>
          <t>Site remediation for sumps and auxiliary holes including soil excavation &amp; disposal, backfilling, compaction, slope collapse mitigation, and site restoration.</t>
        </r>
      </text>
    </comment>
    <comment ref="Y9" authorId="0" shapeId="0" xr:uid="{C581854E-4F5F-4044-8F65-486176A930E0}">
      <text>
        <r>
          <rPr>
            <b/>
            <sz val="9"/>
            <color indexed="81"/>
            <rFont val="Tahoma"/>
            <family val="2"/>
          </rPr>
          <t>Remove and dispose of all refuse, trash, debris, construction materials, production pads, piers, fencing.</t>
        </r>
      </text>
    </comment>
    <comment ref="Z9" authorId="0" shapeId="0" xr:uid="{A48BCDCD-1D9F-4794-AB6F-01E72FAD0C6A}">
      <text>
        <r>
          <rPr>
            <b/>
            <sz val="9"/>
            <color indexed="81"/>
            <rFont val="Tahoma"/>
            <family val="2"/>
          </rPr>
          <t>Access roads that must be removed and restored under Section 1776, subdivision (d).</t>
        </r>
      </text>
    </comment>
    <comment ref="AB9" authorId="0" shapeId="0" xr:uid="{C6E6B93F-0650-40AF-9C9A-6CCB09FA38CB}">
      <text>
        <r>
          <rPr>
            <b/>
            <sz val="9"/>
            <color indexed="81"/>
            <rFont val="Tahoma"/>
            <family val="2"/>
          </rPr>
          <t>Contingency calculated from the Contingency tab.</t>
        </r>
      </text>
    </comment>
    <comment ref="AC9" authorId="0" shapeId="0" xr:uid="{C9B0F22A-839F-40F3-A682-02D07A90B8C2}">
      <text>
        <r>
          <rPr>
            <b/>
            <sz val="9"/>
            <color indexed="81"/>
            <rFont val="Tahoma"/>
            <family val="2"/>
          </rPr>
          <t xml:space="preserve">Activities including permitting, soil sampling, fluid sampling, surveys, and other work required to comply with Public Resources Code and California Code of Regulations.
</t>
        </r>
      </text>
    </comment>
    <comment ref="AD9" authorId="0" shapeId="0" xr:uid="{F223DF21-228E-4360-9F8A-C1F2DF6E45AF}">
      <text>
        <r>
          <rPr>
            <b/>
            <sz val="9"/>
            <color indexed="81"/>
            <rFont val="Tahoma"/>
            <family val="2"/>
          </rPr>
          <t>Activities including preparation work and operations necessary for the movement of equipment, supplies and personnel to and from the site.</t>
        </r>
      </text>
    </comment>
    <comment ref="AE9" authorId="0" shapeId="0" xr:uid="{3FE86897-F390-46E0-B3E0-2A5CDBF91E30}">
      <text>
        <r>
          <rPr>
            <b/>
            <sz val="9"/>
            <color indexed="81"/>
            <rFont val="Tahoma"/>
            <family val="2"/>
          </rPr>
          <t>Activities including project management, engineering design, planning, and reporting, etc.</t>
        </r>
      </text>
    </comment>
    <comment ref="AI9" authorId="0" shapeId="0" xr:uid="{9C00AA96-A218-4778-9550-ECE25D400614}">
      <text>
        <r>
          <rPr>
            <b/>
            <sz val="9"/>
            <color indexed="81"/>
            <rFont val="Tahoma"/>
            <family val="2"/>
          </rPr>
          <t>Enter Cost into Column "N" in the EDD Template for applicable Facilities type: Setting, Sump, Pipeline, etc.</t>
        </r>
      </text>
    </comment>
    <comment ref="AJ9" authorId="0" shapeId="0" xr:uid="{BD080A9D-35D3-4966-9C1B-52008FF45F1B}">
      <text>
        <r>
          <rPr>
            <b/>
            <sz val="9"/>
            <color indexed="81"/>
            <rFont val="Tahoma"/>
            <family val="2"/>
          </rPr>
          <t>Enter Cost into Column "O" in the EDD Template for applicable Facilities type: Setting, Sump, Pipeline, etc.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Takamori, Michael@DOC</author>
  </authors>
  <commentList>
    <comment ref="P35" authorId="0" shapeId="0" xr:uid="{CFFE5C35-C7CF-4844-B67B-DDCE26690D7E}">
      <text>
        <r>
          <rPr>
            <b/>
            <sz val="9"/>
            <color indexed="81"/>
            <rFont val="Tahoma"/>
            <family val="2"/>
          </rPr>
          <t>Enter Cost into Column "O" in the EDD Template for applicable Well</t>
        </r>
      </text>
    </comment>
  </commentList>
</comments>
</file>

<file path=xl/sharedStrings.xml><?xml version="1.0" encoding="utf-8"?>
<sst xmlns="http://schemas.openxmlformats.org/spreadsheetml/2006/main" count="1034" uniqueCount="396">
  <si>
    <t>CalGEM Contact Information</t>
  </si>
  <si>
    <t>Calgem</t>
  </si>
  <si>
    <t>Operator Name:</t>
  </si>
  <si>
    <t>Operator Code:</t>
  </si>
  <si>
    <t>Region</t>
  </si>
  <si>
    <t>12345678</t>
  </si>
  <si>
    <t>Contact Name:</t>
  </si>
  <si>
    <t>Contact Email Address:</t>
  </si>
  <si>
    <t>Contact Phone Number:</t>
  </si>
  <si>
    <t>Date:</t>
  </si>
  <si>
    <t>Lease</t>
  </si>
  <si>
    <t>Well Plug and Abandonment Cost Estimate</t>
  </si>
  <si>
    <t>Well Depth (ft)</t>
  </si>
  <si>
    <t>Number of Casing Strings</t>
  </si>
  <si>
    <t>Weight</t>
  </si>
  <si>
    <t>Well Location</t>
  </si>
  <si>
    <t>N</t>
  </si>
  <si>
    <t>Y</t>
  </si>
  <si>
    <t>Well Condition</t>
  </si>
  <si>
    <t>Well Age</t>
  </si>
  <si>
    <t>0-25</t>
  </si>
  <si>
    <t>25-50</t>
  </si>
  <si>
    <t>50 +</t>
  </si>
  <si>
    <t>Well Depth factor</t>
  </si>
  <si>
    <t>Casing String</t>
  </si>
  <si>
    <t>Aggregated Well Score</t>
  </si>
  <si>
    <t>Aggregrated Risk Category</t>
  </si>
  <si>
    <t>White (Total Weight 0 - 10)</t>
  </si>
  <si>
    <t>Red (Total Weight &gt; 60)</t>
  </si>
  <si>
    <t>Base Case</t>
  </si>
  <si>
    <t>Benchmark</t>
  </si>
  <si>
    <t>Regional Benchmark</t>
  </si>
  <si>
    <t>PA Days</t>
  </si>
  <si>
    <t>Region Name</t>
  </si>
  <si>
    <t>Base P&amp;A Well Days</t>
  </si>
  <si>
    <t>Base Well Cost ($/day)</t>
  </si>
  <si>
    <t>Southern</t>
  </si>
  <si>
    <t>Candidate Well</t>
  </si>
  <si>
    <t>Well Name</t>
  </si>
  <si>
    <t>-----------------------------&gt;</t>
  </si>
  <si>
    <t>Cost/Day</t>
  </si>
  <si>
    <t>Yellow (Total Weight 11 - 39)</t>
  </si>
  <si>
    <t>Orange (Total Weight 40 - 60)</t>
  </si>
  <si>
    <t>Range</t>
  </si>
  <si>
    <t>x</t>
  </si>
  <si>
    <t>y</t>
  </si>
  <si>
    <t>Low</t>
  </si>
  <si>
    <t>High</t>
  </si>
  <si>
    <t>Max Multiplier</t>
  </si>
  <si>
    <t>Slope</t>
  </si>
  <si>
    <t>Intercept</t>
  </si>
  <si>
    <t>Lower Bound</t>
  </si>
  <si>
    <t>Adjusted Rating calculation</t>
  </si>
  <si>
    <t>Rating</t>
  </si>
  <si>
    <t>Maltiplier Max</t>
  </si>
  <si>
    <t>Delta</t>
  </si>
  <si>
    <t>Adjusted Rating</t>
  </si>
  <si>
    <t>Well Score</t>
  </si>
  <si>
    <t>Multiplier</t>
  </si>
  <si>
    <t>Intercepth</t>
  </si>
  <si>
    <t>LB</t>
  </si>
  <si>
    <t>`</t>
  </si>
  <si>
    <t>Well Factors</t>
  </si>
  <si>
    <t>Do not fill</t>
  </si>
  <si>
    <t>Computed Fields - DO NOT FILL OUT</t>
  </si>
  <si>
    <t>Operator / Company</t>
  </si>
  <si>
    <t>Field</t>
  </si>
  <si>
    <t>API #</t>
  </si>
  <si>
    <t>Spud Date</t>
  </si>
  <si>
    <t>P&amp;A Year</t>
  </si>
  <si>
    <t>Base Daily Well Cost</t>
  </si>
  <si>
    <t>Base Well Days</t>
  </si>
  <si>
    <t>Age Range</t>
  </si>
  <si>
    <t>Well File</t>
  </si>
  <si>
    <t>Wellbore Info</t>
  </si>
  <si>
    <t>Age Factor</t>
  </si>
  <si>
    <t>Well Depth Factor</t>
  </si>
  <si>
    <t>Casing Factor</t>
  </si>
  <si>
    <t>Risk to marine or agriculture</t>
  </si>
  <si>
    <t>Production Facility Decommissioning &amp; Site Remediation Cost Estimation</t>
  </si>
  <si>
    <t>Lease Name:</t>
  </si>
  <si>
    <t>Facility Type:</t>
  </si>
  <si>
    <t>Setting, Sump, Pipeline, etc</t>
  </si>
  <si>
    <t>Facility Location:</t>
  </si>
  <si>
    <t>Coordinates</t>
  </si>
  <si>
    <t>Subject ID:</t>
  </si>
  <si>
    <t>Cost Element</t>
  </si>
  <si>
    <t>Total Cost 
($)</t>
  </si>
  <si>
    <t>Quantity</t>
  </si>
  <si>
    <t>Unit</t>
  </si>
  <si>
    <t>Unit Cost 
($)</t>
  </si>
  <si>
    <t>% of Total Cost</t>
  </si>
  <si>
    <t>Description</t>
  </si>
  <si>
    <t>Production Facility Decommissioning</t>
  </si>
  <si>
    <t>Tank (&gt;10,001 bbl)</t>
  </si>
  <si>
    <t>EA</t>
  </si>
  <si>
    <t>Tank (5,001 - 10,000 bbl) or Urban</t>
  </si>
  <si>
    <t>Tank (2,500 - 5,000 bbl)</t>
  </si>
  <si>
    <t>Tank (&lt;2,499 bbl)</t>
  </si>
  <si>
    <t>Vessel</t>
  </si>
  <si>
    <t>Above-Ground Pipelines</t>
  </si>
  <si>
    <t>LF</t>
  </si>
  <si>
    <t>Buried Pipelines</t>
  </si>
  <si>
    <t>Electrical Vaults &amp; Equipment</t>
  </si>
  <si>
    <t>TON</t>
  </si>
  <si>
    <t>Remove and dispose of electrical equipment: poles, transformers, switchgear, cables, wires, conduit, switches, monitoring equipment.</t>
  </si>
  <si>
    <t>Asphalt &amp; Concrete</t>
  </si>
  <si>
    <t>CF</t>
  </si>
  <si>
    <t>Remove and dispose of concrete pads and asphalt.</t>
  </si>
  <si>
    <t>Pumps &amp; Compressors</t>
  </si>
  <si>
    <t>Remove and dispose of pumps and compressors.</t>
  </si>
  <si>
    <t>Buildings</t>
  </si>
  <si>
    <t>SF</t>
  </si>
  <si>
    <t>Remove and dispose of buildings, walls, and supporting equipment.</t>
  </si>
  <si>
    <t>Subtotal</t>
  </si>
  <si>
    <t>Site Remediation</t>
  </si>
  <si>
    <t>Sumps &amp; Auxiliary Holes</t>
  </si>
  <si>
    <t>Refuse Removal</t>
  </si>
  <si>
    <t>CY</t>
  </si>
  <si>
    <t>Remove and dispose of all refuse, trash, debris, construction materials, production pads, piers, fencing.</t>
  </si>
  <si>
    <t>Access Road Removal &amp; Restoration</t>
  </si>
  <si>
    <t>Contingency</t>
  </si>
  <si>
    <t>Contingency calculated from the Contingency tab.</t>
  </si>
  <si>
    <t>Permitting &amp; Regulatory Compliance</t>
  </si>
  <si>
    <t>Mobilization &amp; Demobilization</t>
  </si>
  <si>
    <t>Project Management &amp; Engineering</t>
  </si>
  <si>
    <t>TOTAL COST ESTIMATE</t>
  </si>
  <si>
    <t>Comments</t>
  </si>
  <si>
    <t>Acronym</t>
  </si>
  <si>
    <t>Unit of Measure</t>
  </si>
  <si>
    <t xml:space="preserve">      WellSTAR Input</t>
  </si>
  <si>
    <t xml:space="preserve">Please provide additional scope of work information here.
</t>
  </si>
  <si>
    <t>Cubic Foot</t>
  </si>
  <si>
    <t>Facilities Decommissioning</t>
  </si>
  <si>
    <t>Each</t>
  </si>
  <si>
    <t>Linear Foot</t>
  </si>
  <si>
    <t>Total</t>
  </si>
  <si>
    <t>LS</t>
  </si>
  <si>
    <t>Lump Sum</t>
  </si>
  <si>
    <t>Cubic Yard</t>
  </si>
  <si>
    <t>Square Foot</t>
  </si>
  <si>
    <t>Production Facility Information</t>
  </si>
  <si>
    <t xml:space="preserve">               Production Facility Site Remediation</t>
  </si>
  <si>
    <t xml:space="preserve">                  Other Project Components</t>
  </si>
  <si>
    <t xml:space="preserve">     WellSTAR Input</t>
  </si>
  <si>
    <t>Facilities Decommissioning 
Total Cost</t>
  </si>
  <si>
    <t>Site Remediation 
Total Cost</t>
  </si>
  <si>
    <t>Unit Cost</t>
  </si>
  <si>
    <t>Setting</t>
  </si>
  <si>
    <t>Leave this row blank. Insert additonal rows above.</t>
  </si>
  <si>
    <t xml:space="preserve">      Unit of Measure</t>
  </si>
  <si>
    <t xml:space="preserve">          Cubic Foot</t>
  </si>
  <si>
    <t xml:space="preserve">                Each</t>
  </si>
  <si>
    <t xml:space="preserve">         Linear Foot</t>
  </si>
  <si>
    <t xml:space="preserve">          Lump Sum</t>
  </si>
  <si>
    <t xml:space="preserve">          Cubic Yard</t>
  </si>
  <si>
    <t xml:space="preserve">        Square Foot</t>
  </si>
  <si>
    <t>Well Site Remediation Cost Estimation</t>
  </si>
  <si>
    <t>Field Name:</t>
  </si>
  <si>
    <t>Well Type:</t>
  </si>
  <si>
    <t>Well Site Equipment Removal</t>
  </si>
  <si>
    <t>Pumps</t>
  </si>
  <si>
    <t>Remove and dispose of pumps.</t>
  </si>
  <si>
    <t>Wellhead</t>
  </si>
  <si>
    <t>Well Cellars</t>
  </si>
  <si>
    <t>Remove and dispose of well cellars.</t>
  </si>
  <si>
    <t>Remove and dispose of all refuse, trash, debris, construction materials, production pads, piers, fencing outside the area of a wellhead but within a well site.</t>
  </si>
  <si>
    <t xml:space="preserve">           Well Information</t>
  </si>
  <si>
    <t>Well Site Remediation</t>
  </si>
  <si>
    <t>WellSTAR Input</t>
  </si>
  <si>
    <t xml:space="preserve">                  Leave this row blank. Insert additonal rows above.</t>
  </si>
  <si>
    <t xml:space="preserve">                               Production Facility Decommissioning &amp; Site Remediation Contingency Calculation</t>
  </si>
  <si>
    <t>Yes/No</t>
  </si>
  <si>
    <t>Score</t>
  </si>
  <si>
    <t>No</t>
  </si>
  <si>
    <t>As defined in § 1760 of the Statues &amp; Regulations</t>
  </si>
  <si>
    <t>Any other conditions that pose a threat to life, health, property, or natural resources </t>
  </si>
  <si>
    <t>Risk of increased soil contamination.</t>
  </si>
  <si>
    <t>Contamination concern into freshwater aquifer</t>
  </si>
  <si>
    <t>Facility is located in an area of known geologic hazards, such as subsidence, landslides, or a history of 
damage to wells and facilities in the area from seismicity.</t>
  </si>
  <si>
    <t>Facility location has surface obstacles or other impediments preventing access to the location, including but not limited to surface-use activities, irrigation systems, roads, terrain, or restricted access.</t>
  </si>
  <si>
    <t>Older facilities may contain more hazardous building materials such as asbestos, and may have more widespread soil and/or groundwater impacts given the longer operating lifespan of the facility, and historical operational practices. Many older faciltiies may also have a larger footprint compared to newer facilities.</t>
  </si>
  <si>
    <t xml:space="preserve"> Facility, equipment, pipelines not in use and cannot be put back In-Service until all repairs are completed and the facility is in compliance with all applicable testing and inspection requirements.</t>
  </si>
  <si>
    <t>Total Score</t>
  </si>
  <si>
    <t>Contingency %</t>
  </si>
  <si>
    <t xml:space="preserve">                 Contingency Score</t>
  </si>
  <si>
    <t>&lt;10 Points</t>
  </si>
  <si>
    <t>10 - 19 Points</t>
  </si>
  <si>
    <t>&gt;20 Points</t>
  </si>
  <si>
    <t>Please provide additional scope of work information here.</t>
  </si>
  <si>
    <t>Yes</t>
  </si>
  <si>
    <t>Review Date</t>
  </si>
  <si>
    <t>Total Depth</t>
  </si>
  <si>
    <t>Oil &amp; Gas</t>
  </si>
  <si>
    <t>Remove and dispose of vessels: separators, free-water knockouts, heater-treaters, boilers, steam-generators.</t>
  </si>
  <si>
    <t>Site remediation for a tank including soil excavation &amp; disposal, refuse removal, secondary containment removal, and site restoration.</t>
  </si>
  <si>
    <t>Site remediation for a vessel including soil excavation &amp; disposal, refuse removal, secondary containment removal, and site restoration.</t>
  </si>
  <si>
    <t>Site remediation for sumps and auxiliary holes including soil excavation &amp; disposal, backfilling, compaction, slope collapse mitigation, and site restoration.</t>
  </si>
  <si>
    <t>Activities including permitting, soil sampling, fluid sampling, surveys, and other work required to comply with Public Resources Code and California Code of Regulations.</t>
  </si>
  <si>
    <t>Activities including preparation work and operations necessary for the movement of equipment, supplies and personnel to and from the site.</t>
  </si>
  <si>
    <t>Tank (5,001 - 10,000 bbl)</t>
  </si>
  <si>
    <t>Site remediation for the area around a wellhead including soil excavation &amp; disposal, waste removal, site restoration, and access road removal.</t>
  </si>
  <si>
    <t>Other Project Components</t>
  </si>
  <si>
    <t>P&amp;RC</t>
  </si>
  <si>
    <t>M&amp;D</t>
  </si>
  <si>
    <t>PM&amp;E</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</si>
  <si>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</si>
  <si>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</si>
  <si>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</si>
  <si>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</si>
  <si>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</si>
  <si>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</si>
  <si>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</si>
  <si>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</si>
  <si>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</si>
  <si>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</si>
  <si>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</si>
  <si>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</si>
  <si>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</si>
  <si>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</si>
  <si>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</si>
  <si>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</si>
  <si>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</si>
  <si>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</si>
  <si>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</si>
  <si>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</si>
  <si>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</si>
  <si>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</si>
  <si>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</si>
  <si>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</si>
  <si>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</si>
  <si>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</si>
  <si>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</si>
  <si>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</si>
  <si>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</si>
  <si>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</si>
  <si>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</si>
  <si>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</si>
  <si>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</si>
  <si>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</si>
  <si>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</si>
  <si>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</si>
  <si>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 xml:space="preserve">     Unit of Measure</t>
  </si>
  <si>
    <t xml:space="preserve">         Cubic Foot</t>
  </si>
  <si>
    <t xml:space="preserve">             Each</t>
  </si>
  <si>
    <t xml:space="preserve">       Linear Foot</t>
  </si>
  <si>
    <t xml:space="preserve">        Lump Sum</t>
  </si>
  <si>
    <t xml:space="preserve">        Cubic Yard</t>
  </si>
  <si>
    <t xml:space="preserve">      Square Foot</t>
  </si>
  <si>
    <t xml:space="preserve">     Other Project Components</t>
  </si>
  <si>
    <t>#</t>
  </si>
  <si>
    <t>Grey cells are computed fields and must not be deleted or modified.</t>
  </si>
  <si>
    <t># of Casing Strings</t>
  </si>
  <si>
    <t>Column37</t>
  </si>
  <si>
    <t>Column38</t>
  </si>
  <si>
    <t>Column39</t>
  </si>
  <si>
    <t>Column40</t>
  </si>
  <si>
    <t>Column41</t>
  </si>
  <si>
    <t>Column42</t>
  </si>
  <si>
    <t>Column44</t>
  </si>
  <si>
    <t>Column45</t>
  </si>
  <si>
    <t>Column46</t>
  </si>
  <si>
    <t>Column47</t>
  </si>
  <si>
    <t>Column48</t>
  </si>
  <si>
    <t>Column49</t>
  </si>
  <si>
    <t>Column50</t>
  </si>
  <si>
    <t>Column51</t>
  </si>
  <si>
    <t>Column52</t>
  </si>
  <si>
    <t>Column53</t>
  </si>
  <si>
    <t>Column54</t>
  </si>
  <si>
    <t>Column55</t>
  </si>
  <si>
    <t>Well Plug and Abandonment Cost Estimate (Single Well)</t>
  </si>
  <si>
    <t>Batch Template (Multiple Wells)</t>
  </si>
  <si>
    <t>Production Facility Decommissioning &amp; Site Remediation Cost Estimate</t>
  </si>
  <si>
    <t>(Single Production Facility Setting)</t>
  </si>
  <si>
    <t>Batch Template (Multiple Production Facility Settings)</t>
  </si>
  <si>
    <t>(Single Well)</t>
  </si>
  <si>
    <t xml:space="preserve">      Batch Template (Multiple Wells)</t>
  </si>
  <si>
    <t>Water Disposal</t>
  </si>
  <si>
    <t>ABC-XYZ</t>
  </si>
  <si>
    <t>X1234</t>
  </si>
  <si>
    <t>Field Name</t>
  </si>
  <si>
    <t>Lease Name</t>
  </si>
  <si>
    <t>Well Name 1</t>
  </si>
  <si>
    <t>0412345678</t>
  </si>
  <si>
    <t>Well Name 2</t>
  </si>
  <si>
    <t>0412345679</t>
  </si>
  <si>
    <t>Well Name 3</t>
  </si>
  <si>
    <t>0412345680</t>
  </si>
  <si>
    <t>Well Name 4</t>
  </si>
  <si>
    <t>0412345681</t>
  </si>
  <si>
    <t>Well Name 5</t>
  </si>
  <si>
    <t>0412345682</t>
  </si>
  <si>
    <t>Well Name 6</t>
  </si>
  <si>
    <t>0412345683</t>
  </si>
  <si>
    <t>Well Name 7</t>
  </si>
  <si>
    <t>0412345684</t>
  </si>
  <si>
    <t>Well Name 8</t>
  </si>
  <si>
    <t>0412345685</t>
  </si>
  <si>
    <t>Well Name 9</t>
  </si>
  <si>
    <t>0412345686</t>
  </si>
  <si>
    <t>Well Name 10</t>
  </si>
  <si>
    <t>0412345687</t>
  </si>
  <si>
    <t>Well Name 11</t>
  </si>
  <si>
    <t>0412345688</t>
  </si>
  <si>
    <t>Well Name 12</t>
  </si>
  <si>
    <t>0412345689</t>
  </si>
  <si>
    <t>Well Name 13</t>
  </si>
  <si>
    <t>0412345690</t>
  </si>
  <si>
    <t>Well Name 14</t>
  </si>
  <si>
    <t>0412345691</t>
  </si>
  <si>
    <t>Well Name 15</t>
  </si>
  <si>
    <t>0412345692</t>
  </si>
  <si>
    <t>Well Name 16</t>
  </si>
  <si>
    <t>0412345693</t>
  </si>
  <si>
    <t>Multi-Purpose</t>
  </si>
  <si>
    <t>0412345694</t>
  </si>
  <si>
    <t>0412345695</t>
  </si>
  <si>
    <t>Oil &amp; Gas, Multi-Purpose, Water Disposal, etc.</t>
  </si>
  <si>
    <t>Central</t>
  </si>
  <si>
    <t xml:space="preserve">The well is a critical well as defined by Section 1720, located within a city limit, or is located in an urban area as defined by Section 1760 </t>
  </si>
  <si>
    <t>The well has an environmentally sensitive wellhead as defined in Section 1760</t>
  </si>
  <si>
    <t>The well is in an area of known geologic hazard including subsidence, landslide, or there is a history of damage to the well from seismicity</t>
  </si>
  <si>
    <t>The well has surface obstacles or other impediments preventing access to the wellhead, including but not limited to buildings or structures, surface-use activities, irrigation systems, roads, terrain, or restricted access</t>
  </si>
  <si>
    <t xml:space="preserve">The well, when shut in, has pressure in the casing or tubing at the surface of more than 250 psi, the pressure in the casing or tubing is unknown, or the well is open to the atmosphere, or it is unknown if the well is open to the atmosphere </t>
  </si>
  <si>
    <t>The well has inadequate casing or inadequate tubing integrity, or the adequacy of the casing or tubing is unknown</t>
  </si>
  <si>
    <t>The well has known downhole issues that would impede plugging and abandonment of the well and require special tools for intervention, such as junk, stuck rods, packer, scales in casing, or fish, or it is unknown if the well has junk or other downhole issues</t>
  </si>
  <si>
    <t>The fluid level in the well is above the base of freshwater or USDW, or the fluid level in the well is unknown</t>
  </si>
  <si>
    <t>History of recorded environmental spill or leaks</t>
  </si>
  <si>
    <t>Presence of &gt;100 ppm H2S or CO2 production</t>
  </si>
  <si>
    <t>Well Score Multiplier</t>
  </si>
  <si>
    <t>Estimated Well Days</t>
  </si>
  <si>
    <t>Well Plug &amp; Abandonment Cost</t>
  </si>
  <si>
    <t>Characteristics</t>
  </si>
  <si>
    <t xml:space="preserve">          Well Location</t>
  </si>
  <si>
    <t xml:space="preserve">             Well Conditions</t>
  </si>
  <si>
    <t xml:space="preserve">                                          Leave this row blank. Insert additonal rows above.</t>
  </si>
  <si>
    <t>Well Plug and Abandonment Cost</t>
  </si>
  <si>
    <t>Remove and dispose of above-ground pipelines: transmission, flowline, injection, gathering lines, vent, process piping.</t>
  </si>
  <si>
    <t>Short Ton</t>
  </si>
  <si>
    <t xml:space="preserve">          Short Ton</t>
  </si>
  <si>
    <t>Access roads that must be removed and restored under Section 1776, subdivision (d).</t>
  </si>
  <si>
    <t xml:space="preserve">   Field</t>
  </si>
  <si>
    <t xml:space="preserve">   Lease</t>
  </si>
  <si>
    <t xml:space="preserve">   Facility Type</t>
  </si>
  <si>
    <t xml:space="preserve">   Subject ID</t>
  </si>
  <si>
    <t xml:space="preserve">   Tanks (&gt;10,001 bbl)</t>
  </si>
  <si>
    <t xml:space="preserve">   Tanks (5,001 - 10,000 bbl)</t>
  </si>
  <si>
    <t xml:space="preserve">   Tanks (2,500 - 5,000 bbl)</t>
  </si>
  <si>
    <t xml:space="preserve">   Tanks (&lt;2,499 bbl)</t>
  </si>
  <si>
    <t xml:space="preserve">   Vessels</t>
  </si>
  <si>
    <t xml:space="preserve">   Above-Ground Pipelines</t>
  </si>
  <si>
    <t xml:space="preserve">   Buried Pipelines</t>
  </si>
  <si>
    <t xml:space="preserve">   Asphalt &amp; Concrete</t>
  </si>
  <si>
    <t xml:space="preserve">   Pumps &amp; Compressors</t>
  </si>
  <si>
    <t xml:space="preserve">   Buildings</t>
  </si>
  <si>
    <t xml:space="preserve">   Electrical Vaults &amp; 
   Equipment</t>
  </si>
  <si>
    <t xml:space="preserve">   Sumps &amp; Auxiliary Holes</t>
  </si>
  <si>
    <t xml:space="preserve">   Refuse Removal</t>
  </si>
  <si>
    <t xml:space="preserve">   Access Roads Removal &amp;
   Restoration</t>
  </si>
  <si>
    <t xml:space="preserve">   Contingency</t>
  </si>
  <si>
    <t xml:space="preserve">   Permitting &amp; Regulatory 
   Compliance</t>
  </si>
  <si>
    <t xml:space="preserve">   Mobilization &amp; 
   Demobilization</t>
  </si>
  <si>
    <t xml:space="preserve">   Project Management &amp; 
   Engineering</t>
  </si>
  <si>
    <t xml:space="preserve">   Production Facility 
   Decommissioning Cost</t>
  </si>
  <si>
    <t xml:space="preserve">   Total Cost</t>
  </si>
  <si>
    <t xml:space="preserve">         Short Ton</t>
  </si>
  <si>
    <t xml:space="preserve">   Well Type</t>
  </si>
  <si>
    <t xml:space="preserve">   API #</t>
  </si>
  <si>
    <t xml:space="preserve">   Pumps</t>
  </si>
  <si>
    <t xml:space="preserve">   Wellhead</t>
  </si>
  <si>
    <t xml:space="preserve">   Well Cellars</t>
  </si>
  <si>
    <t xml:space="preserve">   Production Facility
   Site Remediation Cost</t>
  </si>
  <si>
    <t xml:space="preserve">   Well Site 
   Remediation Cost</t>
  </si>
  <si>
    <t>The site is in a sensitive area or urban area, as defined in Section 1760; or there is an environmentally sensitive production facility, which includes an environmentally sensitive wellhead, as defined in Section 1760, on the site</t>
  </si>
  <si>
    <t>A well or production facility located on the site potentially pose a threat to life, health, property, or natural resources</t>
  </si>
  <si>
    <t>There has been a reportable spill or leak from production facilities or wells located on the site or there are unlined sumps on the site</t>
  </si>
  <si>
    <t>The site has or at one time had a freshwater aquifer underneath</t>
  </si>
  <si>
    <t>The site is in an area of known geologic hazards including subsidence, landslides, or seismicity</t>
  </si>
  <si>
    <t>There are surface obstacles or other impediments preventing access to the site, including but not limited to buildings or structures, surface-use activities, irrigation systems, roads, terrain, or restricted access</t>
  </si>
  <si>
    <t>A production facility or well, based on the spud date of the well, located on the site is greater than 50 years</t>
  </si>
  <si>
    <t>There is an unresolved notice of violation at the production facility</t>
  </si>
  <si>
    <t>Remove and dispose of tanks: stock, wash, produced water, storage.</t>
  </si>
  <si>
    <t>Operator Contact Information</t>
  </si>
  <si>
    <t>CalGEMCostEstimates@conservation.ca.gov</t>
  </si>
  <si>
    <t>Activities including project management, engineering design, planning, and reporting, etc.</t>
  </si>
  <si>
    <t>Column43</t>
  </si>
  <si>
    <t>Other Environmental / Safety Concerns</t>
  </si>
  <si>
    <t>Version Update: August 2023</t>
  </si>
  <si>
    <t>Northern</t>
  </si>
  <si>
    <t>50+</t>
  </si>
  <si>
    <t>Well Name 17</t>
  </si>
  <si>
    <t>Well Name 18</t>
  </si>
  <si>
    <t>Any remaining buried pipelines must be purged, filled with an inert fluid, and capped.</t>
  </si>
  <si>
    <t>Sump</t>
  </si>
  <si>
    <t>Pipeline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</si>
</sst>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
    <numFmt numFmtId="166" formatCode="_(* #,##0.0_);_(* \(#,##0.0\);_(* &quot;-&quot;??_);_(@_)"/>
    <numFmt numFmtId="167" formatCode="_(* #,##0_);_(* \(#,##0\);_(* &quot;-&quot;??_);_(@_)"/>
    <numFmt numFmtId="168" formatCode="0.0%"/>
    <numFmt numFmtId="169" formatCode="0.000"/>
    <numFmt numFmtId="170" formatCode="0.0000"/>
    <numFmt numFmtId="171" formatCode="&quot;$&quot;#,##0"/>
    <numFmt numFmtId="172" formatCode="[$-409]mmm\-yy;@"/>
    <numFmt numFmtId="173" formatCode="&quot;$&quot;#,##0.00"/>
    <numFmt numFmtId="174" formatCode="#,##0.0_);\(#,##0.0\)"/>
  </numFmts>
  <fonts count="110" x14ac:knownFonts="1">
    <font>
      <sz val="11"/>
      <color theme="1"/>
      <name val="Calibri"/>
      <family val="2"/>
      <scheme val="minor"/>
    </font>
    <font>
      <sz val="11"/>
      <color theme="1"/>
      <name val="Univers Light"/>
      <family val="2"/>
    </font>
    <font>
      <b/>
      <sz val="11"/>
      <color theme="1"/>
      <name val="Univers Light"/>
      <family val="2"/>
    </font>
    <font>
      <sz val="11"/>
      <color theme="1"/>
      <name val="Calibri"/>
      <family val="2"/>
      <scheme val="minor"/>
    </font>
    <font>
      <sz val="10"/>
      <color theme="1"/>
      <name val="Calibri"/>
      <family val="2"/>
      <scheme val="minor"/>
    </font>
    <font>
      <b/>
      <i/>
      <sz val="11"/>
      <color theme="1"/>
      <name val="Univers Light"/>
      <family val="2"/>
    </font>
    <font>
      <sz val="14"/>
      <color theme="1"/>
      <name val="Univers Light"/>
      <family val="2"/>
    </font>
    <font>
      <sz val="9"/>
      <color indexed="81"/>
      <name val="Tahoma"/>
      <family val="2"/>
    </font>
    <font>
      <b/>
      <sz val="9"/>
      <color indexed="81"/>
      <name val="Tahoma"/>
      <family val="2"/>
    </font>
    <font>
      <sz val="16"/>
      <color theme="1"/>
      <name val="Univers Light"/>
      <family val="2"/>
    </font>
    <font>
      <i/>
      <sz val="14"/>
      <color theme="1"/>
      <name val="Univers Light"/>
      <family val="2"/>
    </font>
    <font>
      <sz val="14"/>
      <color rgb="FF002060"/>
      <name val="The Serif Hand"/>
      <family val="4"/>
      <charset val="1"/>
    </font>
    <font>
      <b/>
      <sz val="12"/>
      <color rgb="FF002060"/>
      <name val="Tisa Offc Serif Pro"/>
    </font>
    <font>
      <sz val="14"/>
      <color rgb="FFFF0000"/>
      <name val="Univers Light"/>
      <family val="2"/>
    </font>
    <font>
      <b/>
      <sz val="14"/>
      <color theme="1"/>
      <name val="Univers Light"/>
      <family val="2"/>
    </font>
    <font>
      <sz val="9"/>
      <color theme="1"/>
      <name val="Century Gothic"/>
      <family val="2"/>
    </font>
    <font>
      <b/>
      <sz val="9"/>
      <color theme="1"/>
      <name val="Century Gothic"/>
      <family val="2"/>
    </font>
    <font>
      <sz val="12"/>
      <color theme="1"/>
      <name val="Calibri"/>
      <family val="2"/>
      <scheme val="minor"/>
    </font>
    <font>
      <sz val="11"/>
      <color theme="2"/>
      <name val="Univers Light"/>
      <family val="2"/>
    </font>
    <font>
      <b/>
      <sz val="11"/>
      <color theme="2"/>
      <name val="Univers Light"/>
      <family val="2"/>
    </font>
    <font>
      <b/>
      <sz val="12"/>
      <color theme="2"/>
      <name val="Univers Light"/>
      <family val="2"/>
    </font>
    <font>
      <i/>
      <sz val="11"/>
      <color theme="1"/>
      <name val="Univers Light"/>
      <family val="2"/>
    </font>
    <font>
      <b/>
      <sz val="12"/>
      <color theme="0"/>
      <name val="Century Gothic"/>
      <family val="2"/>
    </font>
    <font>
      <i/>
      <sz val="10"/>
      <color theme="1" tint="0.14999847407452621"/>
      <name val="Calibri"/>
      <family val="2"/>
      <scheme val="minor"/>
    </font>
    <font>
      <b/>
      <sz val="14"/>
      <color theme="9"/>
      <name val="Univers Light"/>
      <family val="2"/>
    </font>
    <font>
      <sz val="10"/>
      <color theme="1"/>
      <name val="Century Gothic"/>
      <family val="2"/>
    </font>
    <font>
      <b/>
      <sz val="12"/>
      <color theme="1"/>
      <name val="Calibri"/>
      <family val="2"/>
      <scheme val="minor"/>
    </font>
    <font>
      <i/>
      <sz val="11"/>
      <color theme="2" tint="-0.249977111117893"/>
      <name val="Calibri"/>
      <family val="2"/>
      <scheme val="minor"/>
    </font>
    <font>
      <sz val="11"/>
      <color theme="2" tint="-0.249977111117893"/>
      <name val="Calibri"/>
      <family val="2"/>
      <scheme val="minor"/>
    </font>
    <font>
      <b/>
      <sz val="11"/>
      <color theme="1"/>
      <name val="Calibri"/>
      <family val="2"/>
      <scheme val="minor"/>
    </font>
    <font>
      <sz val="10"/>
      <color theme="1"/>
      <name val="Abadi Extra Light"/>
      <family val="2"/>
    </font>
    <font>
      <b/>
      <u/>
      <sz val="10"/>
      <color theme="1"/>
      <name val="Abadi Extra Light"/>
      <family val="2"/>
    </font>
    <font>
      <sz val="9"/>
      <color theme="2" tint="-0.249977111117893"/>
      <name val="Abadi Extra Light"/>
      <family val="2"/>
    </font>
    <font>
      <i/>
      <sz val="10"/>
      <color theme="2" tint="-9.9978637043366805E-2"/>
      <name val="Univers Light"/>
      <family val="2"/>
    </font>
    <font>
      <b/>
      <sz val="18"/>
      <color theme="1"/>
      <name val="Calibri"/>
      <family val="2"/>
      <scheme val="minor"/>
    </font>
    <font>
      <b/>
      <sz val="13"/>
      <color theme="1"/>
      <name val="Calibri"/>
      <family val="2"/>
      <scheme val="minor"/>
    </font>
    <font>
      <sz val="11"/>
      <name val="Calibri"/>
      <family val="2"/>
      <scheme val="minor"/>
    </font>
    <font>
      <sz val="13"/>
      <color theme="1"/>
      <name val="Calibri"/>
      <family val="2"/>
      <scheme val="minor"/>
    </font>
    <font>
      <sz val="9"/>
      <name val="Calibri"/>
      <family val="2"/>
      <scheme val="minor"/>
    </font>
    <font>
      <u/>
      <sz val="11"/>
      <color theme="10"/>
      <name val="Calibri"/>
      <family val="2"/>
      <scheme val="minor"/>
    </font>
    <font>
      <b/>
      <sz val="16"/>
      <color theme="1"/>
      <name val="Century Gothic"/>
      <family val="2"/>
    </font>
    <font>
      <sz val="10"/>
      <name val="Century Gothic"/>
      <family val="2"/>
    </font>
    <font>
      <b/>
      <sz val="11"/>
      <color theme="2"/>
      <name val="Century Gothic"/>
      <family val="2"/>
    </font>
    <font>
      <sz val="10"/>
      <color theme="2"/>
      <name val="Century Gothic"/>
      <family val="2"/>
    </font>
    <font>
      <sz val="10"/>
      <color theme="0"/>
      <name val="Century Gothic"/>
      <family val="2"/>
    </font>
    <font>
      <sz val="9"/>
      <name val="Century Gothic"/>
      <family val="2"/>
    </font>
    <font>
      <b/>
      <sz val="11"/>
      <color theme="0"/>
      <name val="Calibri"/>
      <family val="2"/>
      <scheme val="minor"/>
    </font>
    <font>
      <sz val="11"/>
      <color rgb="FFFF0000"/>
      <name val="Calibri"/>
      <family val="2"/>
      <scheme val="minor"/>
    </font>
    <font>
      <sz val="11"/>
      <color theme="0"/>
      <name val="Calibri"/>
      <family val="2"/>
      <scheme val="minor"/>
    </font>
    <font>
      <b/>
      <sz val="12"/>
      <color theme="0"/>
      <name val="Calibri"/>
      <family val="2"/>
      <scheme val="minor"/>
    </font>
    <font>
      <b/>
      <sz val="11"/>
      <color rgb="FFFF0000"/>
      <name val="Calibri"/>
      <family val="2"/>
      <scheme val="minor"/>
    </font>
    <font>
      <b/>
      <sz val="12"/>
      <name val="Calibri"/>
      <family val="2"/>
      <scheme val="minor"/>
    </font>
    <font>
      <sz val="10"/>
      <name val="Calibri"/>
      <family val="2"/>
      <scheme val="minor"/>
    </font>
    <font>
      <sz val="8"/>
      <color theme="1"/>
      <name val="Arial Nova"/>
      <family val="2"/>
    </font>
    <font>
      <b/>
      <sz val="11"/>
      <name val="Calibri"/>
      <family val="2"/>
      <scheme val="minor"/>
    </font>
    <font>
      <sz val="10"/>
      <color theme="9"/>
      <name val="Calibri"/>
      <family val="2"/>
      <scheme val="minor"/>
    </font>
    <font>
      <b/>
      <i/>
      <sz val="9"/>
      <color theme="1"/>
      <name val="Century Gothic"/>
      <family val="2"/>
    </font>
    <font>
      <b/>
      <i/>
      <sz val="9"/>
      <name val="Calibri"/>
      <family val="2"/>
      <scheme val="minor"/>
    </font>
    <font>
      <sz val="10"/>
      <color theme="9"/>
      <name val="Century Gothic"/>
      <family val="2"/>
    </font>
    <font>
      <u/>
      <sz val="10"/>
      <name val="Calibri"/>
      <family val="2"/>
      <scheme val="minor"/>
    </font>
    <font>
      <b/>
      <i/>
      <sz val="12"/>
      <color theme="0"/>
      <name val="Calibri"/>
      <family val="2"/>
      <scheme val="minor"/>
    </font>
    <font>
      <sz val="9"/>
      <color theme="0"/>
      <name val="Century Gothic"/>
      <family val="2"/>
    </font>
    <font>
      <u/>
      <sz val="10"/>
      <color theme="0"/>
      <name val="Calibri"/>
      <family val="2"/>
      <scheme val="minor"/>
    </font>
    <font>
      <sz val="10"/>
      <color theme="0"/>
      <name val="Calibri"/>
      <family val="2"/>
      <scheme val="minor"/>
    </font>
    <font>
      <b/>
      <i/>
      <sz val="9"/>
      <color theme="0"/>
      <name val="Century Gothic"/>
      <family val="2"/>
    </font>
    <font>
      <sz val="9"/>
      <color theme="1"/>
      <name val="Arial Nova"/>
      <family val="2"/>
    </font>
    <font>
      <sz val="8"/>
      <name val="Calibri"/>
      <family val="2"/>
      <scheme val="minor"/>
    </font>
    <font>
      <sz val="14"/>
      <color theme="1"/>
      <name val="Century Gothic"/>
      <family val="2"/>
    </font>
    <font>
      <b/>
      <sz val="14"/>
      <color theme="1"/>
      <name val="Century Gothic"/>
      <family val="2"/>
    </font>
    <font>
      <b/>
      <sz val="14"/>
      <color theme="0"/>
      <name val="Century Gothic"/>
      <family val="2"/>
    </font>
    <font>
      <b/>
      <sz val="13"/>
      <color theme="0"/>
      <name val="Calibri"/>
      <family val="2"/>
      <scheme val="minor"/>
    </font>
    <font>
      <sz val="8"/>
      <color theme="0"/>
      <name val="Calibri"/>
      <family val="2"/>
      <scheme val="minor"/>
    </font>
    <font>
      <sz val="8"/>
      <color theme="1"/>
      <name val="Calibri"/>
      <family val="2"/>
      <scheme val="minor"/>
    </font>
    <font>
      <b/>
      <sz val="8"/>
      <color theme="0"/>
      <name val="Calibri"/>
      <family val="2"/>
      <scheme val="minor"/>
    </font>
    <font>
      <b/>
      <sz val="10"/>
      <color theme="0"/>
      <name val="Calibri"/>
      <family val="2"/>
      <scheme val="minor"/>
    </font>
    <font>
      <sz val="9"/>
      <color theme="1"/>
      <name val="Calibri"/>
      <family val="2"/>
      <scheme val="minor"/>
    </font>
    <font>
      <b/>
      <sz val="13"/>
      <name val="Calibri"/>
      <family val="2"/>
      <scheme val="minor"/>
    </font>
    <font>
      <b/>
      <sz val="9"/>
      <color theme="0"/>
      <name val="Calibri"/>
      <family val="2"/>
      <scheme val="minor"/>
    </font>
    <font>
      <b/>
      <sz val="16"/>
      <color theme="1"/>
      <name val="Calibri"/>
      <family val="2"/>
      <scheme val="minor"/>
    </font>
    <font>
      <sz val="16"/>
      <color rgb="FF002060"/>
      <name val="Univers Light"/>
      <family val="2"/>
    </font>
    <font>
      <i/>
      <sz val="14"/>
      <color rgb="FF0070C0"/>
      <name val="Univers Light"/>
      <family val="2"/>
    </font>
    <font>
      <b/>
      <sz val="17"/>
      <color rgb="FF002060"/>
      <name val="Univers Light"/>
      <family val="2"/>
    </font>
    <font>
      <sz val="17"/>
      <color theme="1"/>
      <name val="Univers Light"/>
      <family val="2"/>
    </font>
    <font>
      <u/>
      <sz val="12"/>
      <color theme="10"/>
      <name val="Century Gothic"/>
      <family val="2"/>
    </font>
    <font>
      <b/>
      <sz val="20"/>
      <color rgb="FF002060"/>
      <name val="Calibri"/>
      <family val="2"/>
      <scheme val="minor"/>
    </font>
    <font>
      <b/>
      <sz val="20"/>
      <color theme="1"/>
      <name val="Calibri"/>
      <family val="2"/>
      <scheme val="minor"/>
    </font>
    <font>
      <sz val="9"/>
      <color theme="2"/>
      <name val="Century Gothic"/>
      <family val="2"/>
    </font>
    <font>
      <i/>
      <sz val="11"/>
      <name val="Calibri"/>
      <family val="2"/>
      <scheme val="minor"/>
    </font>
    <font>
      <i/>
      <sz val="9"/>
      <name val="Century Gothic"/>
      <family val="2"/>
    </font>
    <font>
      <sz val="9"/>
      <color theme="0"/>
      <name val="Arial Nova"/>
      <family val="2"/>
    </font>
    <font>
      <b/>
      <sz val="10"/>
      <name val="Calibri"/>
      <family val="2"/>
      <scheme val="minor"/>
    </font>
    <font>
      <b/>
      <sz val="10"/>
      <color rgb="FFC00000"/>
      <name val="Calibri"/>
      <family val="2"/>
      <scheme val="minor"/>
    </font>
    <font>
      <sz val="12"/>
      <color theme="0"/>
      <name val="Calibri"/>
      <family val="2"/>
      <scheme val="minor"/>
    </font>
    <font>
      <b/>
      <sz val="10"/>
      <color theme="9"/>
      <name val="Calibri"/>
      <family val="2"/>
      <scheme val="minor"/>
    </font>
    <font>
      <b/>
      <i/>
      <sz val="9"/>
      <color theme="1"/>
      <name val="Calibri"/>
      <family val="2"/>
      <scheme val="minor"/>
    </font>
    <font>
      <b/>
      <sz val="14"/>
      <color theme="0"/>
      <name val="Calibri"/>
      <family val="2"/>
      <scheme val="minor"/>
    </font>
    <font>
      <sz val="11"/>
      <color theme="9"/>
      <name val="Calibri"/>
      <family val="2"/>
      <scheme val="minor"/>
    </font>
    <font>
      <u/>
      <sz val="11"/>
      <name val="Calibri"/>
      <family val="2"/>
      <scheme val="minor"/>
    </font>
    <font>
      <b/>
      <i/>
      <sz val="11"/>
      <color theme="1"/>
      <name val="Calibri"/>
      <family val="2"/>
      <scheme val="minor"/>
    </font>
    <font>
      <b/>
      <sz val="12"/>
      <color theme="2"/>
      <name val="Calibri"/>
      <family val="2"/>
      <scheme val="minor"/>
    </font>
    <font>
      <b/>
      <sz val="14"/>
      <color theme="2"/>
      <name val="Calibri"/>
      <family val="2"/>
      <scheme val="minor"/>
    </font>
    <font>
      <b/>
      <sz val="11"/>
      <color theme="2" tint="-0.499984740745262"/>
      <name val="Calibri"/>
      <family val="2"/>
      <scheme val="minor"/>
    </font>
    <font>
      <b/>
      <sz val="17"/>
      <color theme="1"/>
      <name val="Calibri"/>
      <family val="2"/>
      <scheme val="minor"/>
    </font>
    <font>
      <sz val="12"/>
      <color rgb="FF002060"/>
      <name val="Calibri"/>
      <family val="2"/>
      <scheme val="minor"/>
    </font>
    <font>
      <i/>
      <sz val="10"/>
      <name val="Calibri"/>
      <family val="2"/>
      <scheme val="minor"/>
    </font>
    <font>
      <sz val="10"/>
      <color theme="2" tint="-0.249977111117893"/>
      <name val="Calibri"/>
      <family val="2"/>
      <scheme val="minor"/>
    </font>
    <font>
      <b/>
      <sz val="10"/>
      <color theme="1"/>
      <name val="Calibri"/>
      <family val="2"/>
      <scheme val="minor"/>
    </font>
    <font>
      <sz val="12"/>
      <name val="Calibri"/>
      <family val="2"/>
      <scheme val="minor"/>
    </font>
    <font>
      <b/>
      <sz val="9"/>
      <name val="Century Gothic"/>
      <family val="2"/>
    </font>
    <font>
      <u/>
      <sz val="14"/>
      <color theme="10"/>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4" tint="-0.499984740745262"/>
        <bgColor indexed="64"/>
      </patternFill>
    </fill>
    <fill>
      <patternFill patternType="solid">
        <fgColor rgb="FFFFFF99"/>
        <bgColor indexed="64"/>
      </patternFill>
    </fill>
    <fill>
      <patternFill patternType="solid">
        <fgColor theme="4"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59999389629810485"/>
        <bgColor indexed="64"/>
      </patternFill>
    </fill>
  </fills>
  <borders count="100">
    <border>
      <left/>
      <right/>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thick">
        <color theme="2" tint="-0.499984740745262"/>
      </left>
      <right style="medium">
        <color theme="0"/>
      </right>
      <top style="thick">
        <color theme="2" tint="-0.499984740745262"/>
      </top>
      <bottom style="medium">
        <color theme="0"/>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2" tint="-0.499984740745262"/>
      </left>
      <right style="thin">
        <color theme="2" tint="-0.499984740745262"/>
      </right>
      <top style="thick">
        <color theme="2" tint="-0.499984740745262"/>
      </top>
      <bottom style="thin">
        <color theme="2" tint="-0.499984740745262"/>
      </bottom>
      <diagonal/>
    </border>
    <border>
      <left/>
      <right/>
      <top style="thin">
        <color indexed="64"/>
      </top>
      <bottom style="thin">
        <color indexed="64"/>
      </bottom>
      <diagonal/>
    </border>
    <border>
      <left style="thick">
        <color theme="2" tint="-0.499984740745262"/>
      </left>
      <right/>
      <top style="thick">
        <color theme="2" tint="-0.499984740745262"/>
      </top>
      <bottom style="thin">
        <color theme="2" tint="-0.24994659260841701"/>
      </bottom>
      <diagonal/>
    </border>
    <border>
      <left style="thin">
        <color indexed="64"/>
      </left>
      <right/>
      <top style="thin">
        <color theme="2" tint="-0.24994659260841701"/>
      </top>
      <bottom style="thin">
        <color theme="2" tint="-0.24994659260841701"/>
      </bottom>
      <diagonal/>
    </border>
    <border>
      <left/>
      <right/>
      <top style="thick">
        <color indexed="64"/>
      </top>
      <bottom/>
      <diagonal/>
    </border>
    <border>
      <left/>
      <right/>
      <top style="thick">
        <color indexed="64"/>
      </top>
      <bottom style="thick">
        <color indexed="64"/>
      </bottom>
      <diagonal/>
    </border>
    <border>
      <left/>
      <right/>
      <top style="thin">
        <color theme="2" tint="-0.24994659260841701"/>
      </top>
      <bottom style="thin">
        <color theme="2" tint="-0.2499465926084170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ck">
        <color theme="2" tint="-0.499984740745262"/>
      </left>
      <right style="medium">
        <color indexed="64"/>
      </right>
      <top style="thick">
        <color theme="2" tint="-0.499984740745262"/>
      </top>
      <bottom style="thin">
        <color theme="2" tint="-0.24994659260841701"/>
      </bottom>
      <diagonal/>
    </border>
    <border>
      <left style="medium">
        <color theme="2" tint="-0.24994659260841701"/>
      </left>
      <right style="medium">
        <color indexed="64"/>
      </right>
      <top style="medium">
        <color theme="2" tint="-0.24994659260841701"/>
      </top>
      <bottom style="thick">
        <color theme="1" tint="4.9989318521683403E-2"/>
      </bottom>
      <diagonal/>
    </border>
    <border>
      <left style="medium">
        <color indexed="64"/>
      </left>
      <right/>
      <top/>
      <bottom style="medium">
        <color indexed="64"/>
      </bottom>
      <diagonal/>
    </border>
    <border>
      <left style="thin">
        <color indexed="64"/>
      </left>
      <right/>
      <top/>
      <bottom style="thin">
        <color theme="2" tint="-0.24994659260841701"/>
      </bottom>
      <diagonal/>
    </border>
    <border>
      <left/>
      <right/>
      <top/>
      <bottom style="thin">
        <color theme="2" tint="-0.24994659260841701"/>
      </bottom>
      <diagonal/>
    </border>
    <border>
      <left style="thin">
        <color indexed="64"/>
      </left>
      <right/>
      <top style="thin">
        <color theme="2" tint="-0.24994659260841701"/>
      </top>
      <bottom/>
      <diagonal/>
    </border>
    <border>
      <left/>
      <right/>
      <top style="thin">
        <color theme="2" tint="-0.24994659260841701"/>
      </top>
      <bottom/>
      <diagonal/>
    </border>
    <border>
      <left/>
      <right style="thin">
        <color indexed="64"/>
      </right>
      <top style="thin">
        <color theme="2" tint="-0.24994659260841701"/>
      </top>
      <bottom/>
      <diagonal/>
    </border>
    <border>
      <left/>
      <right style="thin">
        <color indexed="64"/>
      </right>
      <top/>
      <bottom style="thin">
        <color theme="2" tint="-0.24994659260841701"/>
      </bottom>
      <diagonal/>
    </border>
    <border>
      <left/>
      <right style="thin">
        <color indexed="64"/>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2" tint="-0.24994659260841701"/>
      </right>
      <top/>
      <bottom style="thin">
        <color indexed="64"/>
      </bottom>
      <diagonal/>
    </border>
    <border>
      <left style="thin">
        <color theme="2" tint="-0.24994659260841701"/>
      </left>
      <right style="thin">
        <color theme="2" tint="-0.24994659260841701"/>
      </right>
      <top/>
      <bottom style="thin">
        <color indexed="64"/>
      </bottom>
      <diagonal/>
    </border>
    <border>
      <left style="thin">
        <color theme="2" tint="-0.24994659260841701"/>
      </left>
      <right style="thin">
        <color indexed="64"/>
      </right>
      <top/>
      <bottom style="thin">
        <color indexed="64"/>
      </bottom>
      <diagonal/>
    </border>
    <border>
      <left/>
      <right style="thin">
        <color theme="2" tint="-0.24994659260841701"/>
      </right>
      <top/>
      <bottom/>
      <diagonal/>
    </border>
    <border>
      <left style="thin">
        <color theme="2" tint="-0.24994659260841701"/>
      </left>
      <right style="thin">
        <color theme="2" tint="-0.24994659260841701"/>
      </right>
      <top/>
      <bottom/>
      <diagonal/>
    </border>
    <border>
      <left style="thin">
        <color theme="2" tint="-0.24994659260841701"/>
      </left>
      <right style="thin">
        <color indexed="64"/>
      </right>
      <top/>
      <bottom/>
      <diagonal/>
    </border>
    <border>
      <left/>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theme="0"/>
      </top>
      <bottom style="thin">
        <color theme="0"/>
      </bottom>
      <diagonal/>
    </border>
    <border>
      <left/>
      <right/>
      <top style="thin">
        <color theme="0"/>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theme="0"/>
      </right>
      <top style="thin">
        <color indexed="64"/>
      </top>
      <bottom/>
      <diagonal/>
    </border>
    <border>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bottom style="thin">
        <color indexed="64"/>
      </bottom>
      <diagonal/>
    </border>
    <border>
      <left style="thin">
        <color theme="0"/>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theme="2" tint="-0.24994659260841701"/>
      </right>
      <top style="thin">
        <color indexed="64"/>
      </top>
      <bottom style="thin">
        <color indexed="64"/>
      </bottom>
      <diagonal/>
    </border>
    <border>
      <left style="thin">
        <color theme="2" tint="-0.24994659260841701"/>
      </left>
      <right style="thin">
        <color indexed="64"/>
      </right>
      <top style="thin">
        <color indexed="64"/>
      </top>
      <bottom style="thin">
        <color indexed="64"/>
      </bottom>
      <diagonal/>
    </border>
    <border>
      <left style="thin">
        <color theme="2" tint="-0.24994659260841701"/>
      </left>
      <right/>
      <top/>
      <bottom style="thin">
        <color indexed="64"/>
      </bottom>
      <diagonal/>
    </border>
    <border>
      <left style="thin">
        <color theme="2" tint="-0.24994659260841701"/>
      </left>
      <right style="thin">
        <color theme="2" tint="-0.24994659260841701"/>
      </right>
      <top style="thin">
        <color indexed="64"/>
      </top>
      <bottom style="thin">
        <color indexed="64"/>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bottom/>
      <diagonal/>
    </border>
    <border>
      <left style="thin">
        <color indexed="64"/>
      </left>
      <right style="thin">
        <color theme="2" tint="-0.24994659260841701"/>
      </right>
      <top/>
      <bottom/>
      <diagonal/>
    </border>
    <border>
      <left style="thin">
        <color theme="2" tint="-0.24994659260841701"/>
      </left>
      <right style="thin">
        <color theme="2" tint="-0.24994659260841701"/>
      </right>
      <top style="thin">
        <color indexed="64"/>
      </top>
      <bottom/>
      <diagonal/>
    </border>
    <border>
      <left style="thin">
        <color theme="2" tint="-0.24994659260841701"/>
      </left>
      <right style="thin">
        <color indexed="64"/>
      </right>
      <top style="thin">
        <color indexed="64"/>
      </top>
      <bottom/>
      <diagonal/>
    </border>
    <border>
      <left style="thin">
        <color indexed="64"/>
      </left>
      <right style="thin">
        <color theme="4" tint="-0.499984740745262"/>
      </right>
      <top/>
      <bottom style="thin">
        <color theme="4" tint="-0.499984740745262"/>
      </bottom>
      <diagonal/>
    </border>
    <border>
      <left style="thin">
        <color theme="4" tint="-0.499984740745262"/>
      </left>
      <right style="thin">
        <color indexed="64"/>
      </right>
      <top/>
      <bottom style="thin">
        <color theme="4" tint="-0.499984740745262"/>
      </bottom>
      <diagonal/>
    </border>
    <border>
      <left style="thin">
        <color indexed="64"/>
      </left>
      <right/>
      <top style="thin">
        <color theme="0"/>
      </top>
      <bottom/>
      <diagonal/>
    </border>
    <border>
      <left style="thin">
        <color indexed="64"/>
      </left>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4" tint="-0.499984740745262"/>
      </right>
      <top/>
      <bottom/>
      <diagonal/>
    </border>
    <border>
      <left style="thin">
        <color indexed="64"/>
      </left>
      <right style="thin">
        <color indexed="64"/>
      </right>
      <top style="thin">
        <color indexed="64"/>
      </top>
      <bottom/>
      <diagonal/>
    </border>
    <border>
      <left/>
      <right/>
      <top/>
      <bottom style="hair">
        <color theme="1" tint="0.499984740745262"/>
      </bottom>
      <diagonal/>
    </border>
    <border>
      <left/>
      <right/>
      <top style="hair">
        <color theme="1" tint="0.499984740745262"/>
      </top>
      <bottom style="hair">
        <color theme="1" tint="0.499984740745262"/>
      </bottom>
      <diagonal/>
    </border>
    <border>
      <left/>
      <right/>
      <top/>
      <bottom style="hair">
        <color theme="4" tint="-0.249977111117893"/>
      </bottom>
      <diagonal/>
    </border>
    <border>
      <left/>
      <right/>
      <top style="hair">
        <color theme="1" tint="0.499984740745262"/>
      </top>
      <bottom style="hair">
        <color theme="4" tint="-0.249977111117893"/>
      </bottom>
      <diagonal/>
    </border>
    <border>
      <left/>
      <right/>
      <top/>
      <bottom style="hair">
        <color theme="4" tint="-0.499984740745262"/>
      </bottom>
      <diagonal/>
    </border>
    <border>
      <left style="thin">
        <color indexed="64"/>
      </left>
      <right/>
      <top style="thin">
        <color theme="1"/>
      </top>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top/>
      <bottom style="thin">
        <color theme="1"/>
      </bottom>
      <diagonal/>
    </border>
    <border>
      <left style="medium">
        <color indexed="64"/>
      </left>
      <right/>
      <top style="thin">
        <color theme="1"/>
      </top>
      <bottom/>
      <diagonal/>
    </border>
    <border>
      <left style="medium">
        <color indexed="64"/>
      </left>
      <right/>
      <top/>
      <bottom style="thin">
        <color theme="1"/>
      </bottom>
      <diagonal/>
    </border>
    <border>
      <left/>
      <right/>
      <top style="hair">
        <color theme="4" tint="-0.249977111117893"/>
      </top>
      <bottom style="hair">
        <color indexed="64"/>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9" fillId="0" borderId="0" applyNumberFormat="0" applyFill="0" applyBorder="0" applyAlignment="0" applyProtection="0"/>
  </cellStyleXfs>
  <cellXfs count="915">
    <xf numFmtId="0" fontId="0" fillId="0" borderId="0" xfId="0"/>
    <xf numFmtId="0" fontId="0" fillId="8" borderId="0" xfId="0" applyFill="1"/>
    <xf numFmtId="0" fontId="22" fillId="11" borderId="5" xfId="0" applyFont="1" applyFill="1" applyBorder="1" applyAlignment="1" applyProtection="1">
      <alignment horizontal="center" vertical="center" wrapText="1"/>
    </xf>
    <xf numFmtId="0" fontId="0" fillId="8" borderId="0" xfId="0" applyFill="1" applyAlignment="1">
      <alignment horizontal="center"/>
    </xf>
    <xf numFmtId="1" fontId="0" fillId="8" borderId="0" xfId="0" applyNumberFormat="1" applyFill="1" applyAlignment="1">
      <alignment horizontal="center"/>
    </xf>
    <xf numFmtId="3" fontId="0" fillId="8" borderId="0" xfId="0" applyNumberFormat="1" applyFill="1" applyAlignment="1">
      <alignment horizontal="center"/>
    </xf>
    <xf numFmtId="0" fontId="0" fillId="8" borderId="16" xfId="0" applyFill="1" applyBorder="1"/>
    <xf numFmtId="3" fontId="35" fillId="8" borderId="0" xfId="0" applyNumberFormat="1" applyFont="1" applyFill="1" applyAlignment="1">
      <alignment horizontal="center" vertical="center"/>
    </xf>
    <xf numFmtId="3" fontId="0" fillId="8" borderId="0" xfId="0" applyNumberFormat="1" applyFill="1" applyAlignment="1">
      <alignment horizontal="center" vertical="center"/>
    </xf>
    <xf numFmtId="0" fontId="0" fillId="8" borderId="0" xfId="0" applyFill="1" applyAlignment="1">
      <alignment vertical="center"/>
    </xf>
    <xf numFmtId="3" fontId="0" fillId="8" borderId="0" xfId="0" applyNumberFormat="1" applyFill="1"/>
    <xf numFmtId="3" fontId="46" fillId="8" borderId="0" xfId="0" applyNumberFormat="1" applyFont="1" applyFill="1" applyAlignment="1">
      <alignment horizontal="center" wrapText="1"/>
    </xf>
    <xf numFmtId="3" fontId="46" fillId="8" borderId="0" xfId="0" applyNumberFormat="1" applyFont="1" applyFill="1" applyAlignment="1">
      <alignment horizontal="left" wrapText="1"/>
    </xf>
    <xf numFmtId="37" fontId="0" fillId="8" borderId="0" xfId="0" applyNumberFormat="1" applyFill="1" applyAlignment="1">
      <alignment horizontal="center"/>
    </xf>
    <xf numFmtId="9" fontId="0" fillId="8" borderId="0" xfId="0" applyNumberFormat="1" applyFill="1" applyAlignment="1">
      <alignment horizontal="center" vertical="center"/>
    </xf>
    <xf numFmtId="0" fontId="75" fillId="8" borderId="0" xfId="0" applyFont="1" applyFill="1"/>
    <xf numFmtId="3" fontId="0" fillId="8" borderId="5" xfId="0" applyNumberFormat="1" applyFill="1" applyBorder="1" applyAlignment="1">
      <alignment horizontal="center"/>
    </xf>
    <xf numFmtId="9" fontId="0" fillId="8" borderId="5" xfId="0" applyNumberFormat="1" applyFill="1" applyBorder="1" applyAlignment="1">
      <alignment horizontal="center"/>
    </xf>
    <xf numFmtId="9" fontId="0" fillId="8" borderId="5" xfId="0" applyNumberFormat="1" applyFill="1" applyBorder="1" applyAlignment="1">
      <alignment horizontal="center" vertical="center"/>
    </xf>
    <xf numFmtId="9" fontId="0" fillId="8" borderId="0" xfId="0" applyNumberFormat="1" applyFill="1" applyAlignment="1">
      <alignment horizontal="center"/>
    </xf>
    <xf numFmtId="37" fontId="0" fillId="21" borderId="0" xfId="0" applyNumberFormat="1" applyFill="1" applyAlignment="1">
      <alignment horizontal="center"/>
    </xf>
    <xf numFmtId="4" fontId="0" fillId="8" borderId="0" xfId="0" applyNumberFormat="1" applyFill="1" applyAlignment="1">
      <alignment horizontal="center" vertical="center"/>
    </xf>
    <xf numFmtId="0" fontId="4" fillId="8" borderId="0" xfId="0" applyFont="1" applyFill="1"/>
    <xf numFmtId="3" fontId="76" fillId="8" borderId="0" xfId="0" applyNumberFormat="1" applyFont="1" applyFill="1" applyAlignment="1">
      <alignment horizontal="center" vertical="center"/>
    </xf>
    <xf numFmtId="3" fontId="76" fillId="8" borderId="0" xfId="0" applyNumberFormat="1" applyFont="1" applyFill="1" applyAlignment="1">
      <alignment horizontal="center"/>
    </xf>
    <xf numFmtId="9" fontId="76" fillId="8" borderId="0" xfId="0" applyNumberFormat="1" applyFont="1" applyFill="1" applyAlignment="1">
      <alignment horizontal="center" vertical="center"/>
    </xf>
    <xf numFmtId="0" fontId="54" fillId="8" borderId="0" xfId="0" applyFont="1" applyFill="1"/>
    <xf numFmtId="0" fontId="46" fillId="8" borderId="0" xfId="0" applyFont="1" applyFill="1"/>
    <xf numFmtId="3" fontId="46" fillId="8" borderId="0" xfId="0" applyNumberFormat="1" applyFont="1" applyFill="1" applyAlignment="1">
      <alignment horizontal="center"/>
    </xf>
    <xf numFmtId="9" fontId="46" fillId="8" borderId="0" xfId="0" applyNumberFormat="1" applyFont="1" applyFill="1" applyAlignment="1">
      <alignment horizontal="center" vertical="center"/>
    </xf>
    <xf numFmtId="0" fontId="46" fillId="8" borderId="0" xfId="0" applyFont="1" applyFill="1" applyAlignment="1">
      <alignment horizontal="left"/>
    </xf>
    <xf numFmtId="0" fontId="36" fillId="8" borderId="0" xfId="0" applyFont="1" applyFill="1"/>
    <xf numFmtId="0" fontId="52" fillId="8" borderId="0" xfId="0" applyFont="1" applyFill="1" applyAlignment="1">
      <alignment horizontal="left" vertical="top" wrapText="1"/>
    </xf>
    <xf numFmtId="0" fontId="52" fillId="8" borderId="11" xfId="0" applyFont="1" applyFill="1" applyBorder="1" applyAlignment="1">
      <alignment horizontal="left" vertical="center"/>
    </xf>
    <xf numFmtId="0" fontId="52" fillId="8" borderId="0" xfId="0" applyFont="1" applyFill="1" applyAlignment="1">
      <alignment vertical="center"/>
    </xf>
    <xf numFmtId="0" fontId="52" fillId="8" borderId="10" xfId="0" applyFont="1" applyFill="1" applyBorder="1" applyAlignment="1">
      <alignment vertical="center"/>
    </xf>
    <xf numFmtId="171" fontId="4" fillId="8" borderId="44" xfId="0" applyNumberFormat="1" applyFont="1" applyFill="1" applyBorder="1" applyAlignment="1">
      <alignment vertical="center"/>
    </xf>
    <xf numFmtId="0" fontId="36" fillId="8" borderId="0" xfId="0" applyFont="1" applyFill="1" applyAlignment="1">
      <alignment horizontal="right"/>
    </xf>
    <xf numFmtId="9" fontId="52" fillId="8" borderId="11" xfId="0" applyNumberFormat="1" applyFont="1" applyFill="1" applyBorder="1" applyAlignment="1">
      <alignment horizontal="left" vertical="center"/>
    </xf>
    <xf numFmtId="0" fontId="38" fillId="8" borderId="0" xfId="0" applyFont="1" applyFill="1"/>
    <xf numFmtId="9" fontId="52" fillId="8" borderId="9" xfId="0" applyNumberFormat="1" applyFont="1" applyFill="1" applyBorder="1" applyAlignment="1">
      <alignment horizontal="left" vertical="center"/>
    </xf>
    <xf numFmtId="0" fontId="52" fillId="8" borderId="5" xfId="0" applyFont="1" applyFill="1" applyBorder="1" applyAlignment="1">
      <alignment vertical="center"/>
    </xf>
    <xf numFmtId="0" fontId="4" fillId="8" borderId="12" xfId="0" applyFont="1" applyFill="1" applyBorder="1" applyAlignment="1">
      <alignment vertical="center"/>
    </xf>
    <xf numFmtId="171" fontId="4" fillId="8" borderId="45" xfId="0" applyNumberFormat="1" applyFont="1" applyFill="1" applyBorder="1" applyAlignment="1">
      <alignment vertical="center"/>
    </xf>
    <xf numFmtId="9" fontId="36" fillId="8" borderId="0" xfId="0" applyNumberFormat="1" applyFont="1" applyFill="1" applyAlignment="1">
      <alignment horizontal="center"/>
    </xf>
    <xf numFmtId="0" fontId="52" fillId="8" borderId="0" xfId="0" applyFont="1" applyFill="1" applyAlignment="1">
      <alignment vertical="top" wrapText="1"/>
    </xf>
    <xf numFmtId="3" fontId="0" fillId="21" borderId="0" xfId="0" applyNumberFormat="1" applyFill="1" applyAlignment="1">
      <alignment horizontal="center"/>
    </xf>
    <xf numFmtId="0" fontId="52" fillId="8" borderId="12" xfId="0" applyFont="1" applyFill="1" applyBorder="1" applyAlignment="1">
      <alignment vertical="center"/>
    </xf>
    <xf numFmtId="171" fontId="4" fillId="8" borderId="45" xfId="0" applyNumberFormat="1" applyFont="1" applyFill="1" applyBorder="1" applyAlignment="1" applyProtection="1">
      <alignment vertical="center"/>
      <protection locked="0"/>
    </xf>
    <xf numFmtId="3" fontId="0" fillId="8" borderId="16" xfId="0" applyNumberFormat="1" applyFill="1" applyBorder="1" applyAlignment="1">
      <alignment horizontal="center"/>
    </xf>
    <xf numFmtId="3" fontId="78" fillId="8" borderId="0" xfId="0" applyNumberFormat="1" applyFont="1" applyFill="1" applyAlignment="1">
      <alignment vertical="center"/>
    </xf>
    <xf numFmtId="0" fontId="34" fillId="8" borderId="0" xfId="0" applyFont="1" applyFill="1" applyAlignment="1">
      <alignment vertical="center"/>
    </xf>
    <xf numFmtId="0" fontId="78" fillId="8" borderId="0" xfId="0" applyFont="1" applyFill="1"/>
    <xf numFmtId="3" fontId="78" fillId="8" borderId="16" xfId="0" applyNumberFormat="1" applyFont="1" applyFill="1" applyBorder="1" applyAlignment="1">
      <alignment vertical="center"/>
    </xf>
    <xf numFmtId="0" fontId="37" fillId="8" borderId="0" xfId="0" applyFont="1" applyFill="1" applyAlignment="1">
      <alignment vertical="center"/>
    </xf>
    <xf numFmtId="0" fontId="38" fillId="8" borderId="0" xfId="0" applyFont="1" applyFill="1" applyAlignment="1">
      <alignment horizontal="center" vertical="center" wrapText="1"/>
    </xf>
    <xf numFmtId="0" fontId="75" fillId="8" borderId="0" xfId="0" applyFont="1" applyFill="1" applyAlignment="1">
      <alignment vertical="center"/>
    </xf>
    <xf numFmtId="0" fontId="70" fillId="8" borderId="0" xfId="0" applyFont="1" applyFill="1" applyAlignment="1">
      <alignment horizontal="center" vertical="center" wrapText="1"/>
    </xf>
    <xf numFmtId="1" fontId="36" fillId="8" borderId="0" xfId="0" applyNumberFormat="1" applyFont="1" applyFill="1" applyAlignment="1">
      <alignment horizontal="center" vertical="center" wrapText="1"/>
    </xf>
    <xf numFmtId="1" fontId="38" fillId="8" borderId="0" xfId="0" applyNumberFormat="1" applyFont="1" applyFill="1" applyAlignment="1">
      <alignment horizontal="center" vertical="center" wrapText="1"/>
    </xf>
    <xf numFmtId="1" fontId="36" fillId="8" borderId="5" xfId="0" applyNumberFormat="1" applyFont="1" applyFill="1" applyBorder="1" applyAlignment="1">
      <alignment horizontal="center" vertical="center" wrapText="1"/>
    </xf>
    <xf numFmtId="0" fontId="38" fillId="8" borderId="0" xfId="0" applyFont="1" applyFill="1" applyAlignment="1">
      <alignment vertical="center"/>
    </xf>
    <xf numFmtId="0" fontId="36" fillId="8" borderId="0" xfId="0" applyFont="1" applyFill="1" applyAlignment="1">
      <alignment vertical="center"/>
    </xf>
    <xf numFmtId="0" fontId="29" fillId="8" borderId="0" xfId="0" applyFont="1" applyFill="1" applyAlignment="1">
      <alignment horizontal="center"/>
    </xf>
    <xf numFmtId="0" fontId="75" fillId="3" borderId="18" xfId="0" applyFont="1" applyFill="1" applyBorder="1" applyAlignment="1">
      <alignment vertical="center"/>
    </xf>
    <xf numFmtId="9" fontId="75" fillId="8" borderId="19" xfId="0" applyNumberFormat="1" applyFont="1" applyFill="1" applyBorder="1" applyAlignment="1">
      <alignment horizontal="center" vertical="center"/>
    </xf>
    <xf numFmtId="0" fontId="75" fillId="17" borderId="18" xfId="0" applyFont="1" applyFill="1" applyBorder="1" applyAlignment="1">
      <alignment vertical="center"/>
    </xf>
    <xf numFmtId="0" fontId="75" fillId="7" borderId="20" xfId="0" applyFont="1" applyFill="1" applyBorder="1" applyAlignment="1">
      <alignment vertical="center"/>
    </xf>
    <xf numFmtId="9" fontId="75" fillId="8" borderId="21" xfId="0" applyNumberFormat="1" applyFont="1" applyFill="1" applyBorder="1" applyAlignment="1">
      <alignment horizontal="center" vertical="center"/>
    </xf>
    <xf numFmtId="171" fontId="4" fillId="8" borderId="44" xfId="0" applyNumberFormat="1" applyFont="1" applyFill="1" applyBorder="1" applyAlignment="1" applyProtection="1">
      <alignment vertical="center"/>
      <protection locked="0"/>
    </xf>
    <xf numFmtId="4" fontId="36" fillId="8" borderId="0" xfId="0" applyNumberFormat="1" applyFont="1" applyFill="1"/>
    <xf numFmtId="171" fontId="0" fillId="8" borderId="0" xfId="0" applyNumberFormat="1" applyFill="1"/>
    <xf numFmtId="0" fontId="0" fillId="8" borderId="0" xfId="0" applyFill="1" applyAlignment="1">
      <alignment horizontal="right"/>
    </xf>
    <xf numFmtId="2" fontId="36" fillId="8" borderId="0" xfId="0" applyNumberFormat="1" applyFont="1" applyFill="1"/>
    <xf numFmtId="0" fontId="4" fillId="8" borderId="17" xfId="0" applyFont="1" applyFill="1" applyBorder="1" applyAlignment="1">
      <alignment horizontal="center" vertical="center"/>
    </xf>
    <xf numFmtId="0" fontId="38" fillId="8" borderId="0" xfId="0" applyFont="1" applyFill="1" applyAlignment="1">
      <alignment horizontal="left" vertical="center" wrapText="1"/>
    </xf>
    <xf numFmtId="3" fontId="34" fillId="8" borderId="0" xfId="0" applyNumberFormat="1" applyFont="1" applyFill="1" applyAlignment="1">
      <alignment vertical="center"/>
    </xf>
    <xf numFmtId="3" fontId="34" fillId="8" borderId="26" xfId="0" applyNumberFormat="1" applyFont="1" applyFill="1" applyBorder="1" applyAlignment="1">
      <alignment vertical="center"/>
    </xf>
    <xf numFmtId="3" fontId="34" fillId="8" borderId="16" xfId="0" applyNumberFormat="1" applyFont="1" applyFill="1" applyBorder="1" applyAlignment="1">
      <alignment vertical="center"/>
    </xf>
    <xf numFmtId="0" fontId="34" fillId="8" borderId="0" xfId="0" applyFont="1" applyFill="1" applyAlignment="1">
      <alignment horizontal="left" vertical="center"/>
    </xf>
    <xf numFmtId="1" fontId="54" fillId="8" borderId="0" xfId="0" applyNumberFormat="1" applyFont="1" applyFill="1" applyAlignment="1">
      <alignment vertical="center" wrapText="1"/>
    </xf>
    <xf numFmtId="1" fontId="54" fillId="8" borderId="0" xfId="0" applyNumberFormat="1" applyFont="1" applyFill="1" applyAlignment="1">
      <alignment horizontal="left" vertical="center" wrapText="1"/>
    </xf>
    <xf numFmtId="0" fontId="38" fillId="8" borderId="0" xfId="0" applyFont="1" applyFill="1" applyAlignment="1">
      <alignment vertical="center" wrapText="1"/>
    </xf>
    <xf numFmtId="49" fontId="0" fillId="12" borderId="0" xfId="0" applyNumberFormat="1" applyFill="1" applyProtection="1">
      <protection locked="0"/>
    </xf>
    <xf numFmtId="37" fontId="36" fillId="12" borderId="0" xfId="0" applyNumberFormat="1" applyFont="1" applyFill="1" applyAlignment="1" applyProtection="1">
      <alignment horizontal="center"/>
      <protection locked="0"/>
    </xf>
    <xf numFmtId="37" fontId="0" fillId="12" borderId="0" xfId="0" applyNumberFormat="1" applyFill="1" applyAlignment="1" applyProtection="1">
      <alignment horizontal="center"/>
      <protection locked="0"/>
    </xf>
    <xf numFmtId="37" fontId="0" fillId="12" borderId="5" xfId="0" applyNumberFormat="1" applyFill="1" applyBorder="1" applyAlignment="1" applyProtection="1">
      <alignment horizontal="center"/>
      <protection locked="0"/>
    </xf>
    <xf numFmtId="37" fontId="0" fillId="12" borderId="0" xfId="0" applyNumberFormat="1" applyFill="1" applyAlignment="1" applyProtection="1">
      <alignment horizontal="center" vertical="center"/>
      <protection locked="0"/>
    </xf>
    <xf numFmtId="0" fontId="46" fillId="11" borderId="0" xfId="0" applyFont="1" applyFill="1"/>
    <xf numFmtId="3" fontId="46" fillId="11" borderId="0" xfId="0" applyNumberFormat="1" applyFont="1" applyFill="1" applyAlignment="1">
      <alignment horizontal="center" wrapText="1"/>
    </xf>
    <xf numFmtId="3" fontId="46" fillId="11" borderId="0" xfId="0" applyNumberFormat="1" applyFont="1" applyFill="1" applyAlignment="1">
      <alignment horizontal="left"/>
    </xf>
    <xf numFmtId="0" fontId="0" fillId="11" borderId="0" xfId="0" applyFill="1"/>
    <xf numFmtId="0" fontId="46" fillId="11" borderId="0" xfId="0" applyFont="1" applyFill="1" applyAlignment="1">
      <alignment vertical="center"/>
    </xf>
    <xf numFmtId="0" fontId="70" fillId="11" borderId="0" xfId="0" applyFont="1" applyFill="1"/>
    <xf numFmtId="0" fontId="77" fillId="11" borderId="17" xfId="0" applyFont="1" applyFill="1" applyBorder="1" applyAlignment="1">
      <alignment horizontal="center"/>
    </xf>
    <xf numFmtId="0" fontId="46" fillId="11" borderId="42" xfId="0" applyFont="1" applyFill="1" applyBorder="1"/>
    <xf numFmtId="0" fontId="46" fillId="11" borderId="23" xfId="0" applyFont="1" applyFill="1" applyBorder="1"/>
    <xf numFmtId="0" fontId="46" fillId="11" borderId="43" xfId="0" applyFont="1" applyFill="1" applyBorder="1"/>
    <xf numFmtId="0" fontId="46" fillId="11" borderId="23" xfId="0" applyFont="1" applyFill="1" applyBorder="1" applyAlignment="1">
      <alignment horizontal="left"/>
    </xf>
    <xf numFmtId="0" fontId="46" fillId="11" borderId="6" xfId="0" applyFont="1" applyFill="1" applyBorder="1" applyAlignment="1">
      <alignment vertical="center"/>
    </xf>
    <xf numFmtId="0" fontId="46" fillId="11" borderId="9" xfId="0" applyFont="1" applyFill="1" applyBorder="1" applyAlignment="1">
      <alignment vertical="center"/>
    </xf>
    <xf numFmtId="9" fontId="36" fillId="12" borderId="7" xfId="0" applyNumberFormat="1" applyFont="1" applyFill="1" applyBorder="1" applyAlignment="1" applyProtection="1">
      <alignment horizontal="center"/>
      <protection locked="0"/>
    </xf>
    <xf numFmtId="3" fontId="36" fillId="12" borderId="6" xfId="0" applyNumberFormat="1" applyFont="1" applyFill="1" applyBorder="1" applyAlignment="1" applyProtection="1">
      <alignment horizontal="center"/>
      <protection locked="0"/>
    </xf>
    <xf numFmtId="3" fontId="36" fillId="12" borderId="23" xfId="0" applyNumberFormat="1" applyFont="1" applyFill="1" applyBorder="1" applyAlignment="1" applyProtection="1">
      <alignment horizontal="center"/>
      <protection locked="0"/>
    </xf>
    <xf numFmtId="3" fontId="36" fillId="12" borderId="7" xfId="0" applyNumberFormat="1" applyFont="1" applyFill="1" applyBorder="1" applyAlignment="1" applyProtection="1">
      <alignment horizontal="center"/>
      <protection locked="0"/>
    </xf>
    <xf numFmtId="0" fontId="36" fillId="12" borderId="6" xfId="0" applyFont="1" applyFill="1" applyBorder="1" applyAlignment="1" applyProtection="1">
      <alignment horizontal="center"/>
      <protection locked="0"/>
    </xf>
    <xf numFmtId="0" fontId="36" fillId="12" borderId="23" xfId="0" applyFont="1" applyFill="1" applyBorder="1" applyAlignment="1" applyProtection="1">
      <alignment horizontal="center"/>
      <protection locked="0"/>
    </xf>
    <xf numFmtId="0" fontId="0" fillId="12" borderId="6" xfId="0" applyFill="1" applyBorder="1" applyAlignment="1" applyProtection="1">
      <alignment horizontal="left" vertical="center"/>
      <protection locked="0"/>
    </xf>
    <xf numFmtId="0" fontId="0" fillId="12" borderId="6" xfId="0" applyFill="1" applyBorder="1" applyAlignment="1" applyProtection="1">
      <alignment horizontal="center" vertical="center"/>
      <protection locked="0"/>
    </xf>
    <xf numFmtId="1" fontId="0" fillId="12" borderId="8" xfId="0" applyNumberFormat="1" applyFill="1" applyBorder="1" applyAlignment="1" applyProtection="1">
      <alignment horizontal="center"/>
      <protection locked="0"/>
    </xf>
    <xf numFmtId="0" fontId="0" fillId="12" borderId="23" xfId="0" applyFill="1" applyBorder="1" applyProtection="1">
      <protection locked="0"/>
    </xf>
    <xf numFmtId="1" fontId="0" fillId="12" borderId="43" xfId="0" applyNumberFormat="1" applyFill="1" applyBorder="1" applyAlignment="1" applyProtection="1">
      <alignment horizontal="center"/>
      <protection locked="0"/>
    </xf>
    <xf numFmtId="0" fontId="0" fillId="12" borderId="6" xfId="0" applyFill="1" applyBorder="1" applyProtection="1">
      <protection locked="0"/>
    </xf>
    <xf numFmtId="3" fontId="0" fillId="12" borderId="0" xfId="0" applyNumberFormat="1" applyFill="1" applyAlignment="1" applyProtection="1">
      <alignment horizontal="center"/>
      <protection locked="0"/>
    </xf>
    <xf numFmtId="3" fontId="0" fillId="12" borderId="5" xfId="0" applyNumberFormat="1" applyFill="1" applyBorder="1" applyAlignment="1" applyProtection="1">
      <alignment horizontal="center"/>
      <protection locked="0"/>
    </xf>
    <xf numFmtId="0" fontId="36" fillId="12" borderId="0" xfId="0" applyFont="1" applyFill="1" applyAlignment="1" applyProtection="1">
      <alignment horizontal="center" vertical="center" wrapText="1"/>
      <protection locked="0"/>
    </xf>
    <xf numFmtId="0" fontId="46" fillId="11" borderId="0" xfId="0" applyFont="1" applyFill="1" applyAlignment="1">
      <alignment horizontal="center" vertical="center" wrapText="1"/>
    </xf>
    <xf numFmtId="0" fontId="46" fillId="11" borderId="11" xfId="0" applyFont="1" applyFill="1" applyBorder="1" applyAlignment="1">
      <alignment vertical="center"/>
    </xf>
    <xf numFmtId="0" fontId="46" fillId="11" borderId="10" xfId="0" applyFont="1" applyFill="1" applyBorder="1" applyAlignment="1">
      <alignment vertical="center"/>
    </xf>
    <xf numFmtId="0" fontId="46" fillId="11" borderId="0" xfId="0" applyFont="1" applyFill="1" applyAlignment="1">
      <alignment vertical="center" wrapText="1"/>
    </xf>
    <xf numFmtId="0" fontId="46" fillId="11" borderId="10" xfId="0" applyFont="1" applyFill="1" applyBorder="1" applyAlignment="1">
      <alignment vertical="center" wrapText="1"/>
    </xf>
    <xf numFmtId="0" fontId="46" fillId="11" borderId="5" xfId="0" applyFont="1" applyFill="1" applyBorder="1" applyAlignment="1">
      <alignment vertical="center" wrapText="1"/>
    </xf>
    <xf numFmtId="0" fontId="46" fillId="11" borderId="12" xfId="0" applyFont="1" applyFill="1" applyBorder="1" applyAlignment="1">
      <alignment vertical="center" wrapText="1"/>
    </xf>
    <xf numFmtId="0" fontId="46" fillId="11" borderId="4" xfId="0" applyFont="1" applyFill="1" applyBorder="1" applyAlignment="1">
      <alignment vertical="center"/>
    </xf>
    <xf numFmtId="0" fontId="46" fillId="11" borderId="1" xfId="0" applyFont="1" applyFill="1" applyBorder="1" applyAlignment="1">
      <alignment vertical="center"/>
    </xf>
    <xf numFmtId="4" fontId="0" fillId="8" borderId="5" xfId="0" applyNumberFormat="1" applyFill="1" applyBorder="1" applyAlignment="1">
      <alignment horizontal="center"/>
    </xf>
    <xf numFmtId="3" fontId="36" fillId="12" borderId="8" xfId="0" applyNumberFormat="1" applyFont="1" applyFill="1" applyBorder="1" applyAlignment="1" applyProtection="1">
      <alignment horizontal="center"/>
      <protection locked="0"/>
    </xf>
    <xf numFmtId="3" fontId="36" fillId="12" borderId="43" xfId="0" applyNumberFormat="1" applyFont="1" applyFill="1" applyBorder="1" applyAlignment="1" applyProtection="1">
      <alignment horizontal="center"/>
      <protection locked="0"/>
    </xf>
    <xf numFmtId="0" fontId="46" fillId="8" borderId="0" xfId="0" applyFont="1" applyFill="1" applyAlignment="1"/>
    <xf numFmtId="0" fontId="0" fillId="8" borderId="0" xfId="0" applyFill="1" applyProtection="1"/>
    <xf numFmtId="0" fontId="0" fillId="8" borderId="0" xfId="0" applyFill="1"/>
    <xf numFmtId="167" fontId="67" fillId="12" borderId="22" xfId="3" applyNumberFormat="1" applyFont="1" applyFill="1" applyBorder="1" applyAlignment="1" applyProtection="1">
      <alignment horizontal="left"/>
      <protection locked="0"/>
    </xf>
    <xf numFmtId="1" fontId="0" fillId="8" borderId="0" xfId="0" applyNumberFormat="1" applyFill="1" applyAlignment="1" applyProtection="1">
      <alignment horizontal="center"/>
      <protection locked="0"/>
    </xf>
    <xf numFmtId="0" fontId="36" fillId="8" borderId="0" xfId="0" applyFont="1" applyFill="1" applyProtection="1">
      <protection locked="0"/>
    </xf>
    <xf numFmtId="0" fontId="36" fillId="8" borderId="0" xfId="0" applyFont="1" applyFill="1" applyAlignment="1" applyProtection="1">
      <alignment horizontal="center"/>
      <protection locked="0"/>
    </xf>
    <xf numFmtId="0" fontId="0" fillId="8" borderId="11" xfId="0" applyFill="1" applyBorder="1" applyAlignment="1" applyProtection="1">
      <alignment horizontal="center"/>
      <protection locked="0"/>
    </xf>
    <xf numFmtId="171" fontId="46" fillId="11" borderId="11" xfId="0" applyNumberFormat="1" applyFont="1" applyFill="1" applyBorder="1" applyAlignment="1" applyProtection="1">
      <alignment horizontal="center"/>
      <protection locked="0"/>
    </xf>
    <xf numFmtId="171" fontId="46" fillId="11" borderId="0" xfId="0" applyNumberFormat="1" applyFont="1" applyFill="1" applyAlignment="1" applyProtection="1">
      <alignment horizontal="center"/>
      <protection locked="0"/>
    </xf>
    <xf numFmtId="0" fontId="0" fillId="8" borderId="0" xfId="0" applyFill="1" applyProtection="1">
      <protection locked="0"/>
    </xf>
    <xf numFmtId="3" fontId="0" fillId="8" borderId="0" xfId="0" applyNumberFormat="1" applyFill="1" applyAlignment="1" applyProtection="1">
      <alignment horizontal="center"/>
      <protection locked="0"/>
    </xf>
    <xf numFmtId="0" fontId="0" fillId="8" borderId="0" xfId="0" applyFill="1" applyAlignment="1" applyProtection="1">
      <alignment horizontal="center"/>
      <protection locked="0"/>
    </xf>
    <xf numFmtId="0" fontId="46" fillId="11" borderId="11" xfId="0" applyFont="1" applyFill="1" applyBorder="1" applyAlignment="1">
      <alignment vertical="center"/>
    </xf>
    <xf numFmtId="3" fontId="36" fillId="20" borderId="7" xfId="0" applyNumberFormat="1" applyFont="1" applyFill="1" applyBorder="1" applyAlignment="1" applyProtection="1">
      <alignment horizontal="center"/>
      <protection locked="0"/>
    </xf>
    <xf numFmtId="9" fontId="36" fillId="20" borderId="6" xfId="0" applyNumberFormat="1" applyFont="1" applyFill="1" applyBorder="1" applyAlignment="1" applyProtection="1">
      <alignment horizontal="center"/>
      <protection locked="0"/>
    </xf>
    <xf numFmtId="9" fontId="36" fillId="20" borderId="8" xfId="0" applyNumberFormat="1" applyFont="1" applyFill="1" applyBorder="1" applyAlignment="1" applyProtection="1">
      <alignment horizontal="center"/>
      <protection locked="0"/>
    </xf>
    <xf numFmtId="3" fontId="36" fillId="20" borderId="42" xfId="0" applyNumberFormat="1" applyFont="1" applyFill="1" applyBorder="1" applyAlignment="1" applyProtection="1">
      <alignment horizontal="center"/>
      <protection locked="0"/>
    </xf>
    <xf numFmtId="9" fontId="36" fillId="20" borderId="23" xfId="0" applyNumberFormat="1" applyFont="1" applyFill="1" applyBorder="1" applyAlignment="1" applyProtection="1">
      <alignment horizontal="center"/>
      <protection locked="0"/>
    </xf>
    <xf numFmtId="9" fontId="36" fillId="20" borderId="43" xfId="0" applyNumberFormat="1" applyFont="1" applyFill="1" applyBorder="1" applyAlignment="1" applyProtection="1">
      <alignment horizontal="center"/>
      <protection locked="0"/>
    </xf>
    <xf numFmtId="14" fontId="67" fillId="12" borderId="22" xfId="3" applyNumberFormat="1" applyFont="1" applyFill="1" applyBorder="1" applyAlignment="1" applyProtection="1">
      <alignment horizontal="left"/>
      <protection locked="0"/>
    </xf>
    <xf numFmtId="0" fontId="0" fillId="8" borderId="0" xfId="0" applyFill="1" applyAlignment="1" applyProtection="1">
      <alignment horizontal="center"/>
    </xf>
    <xf numFmtId="1" fontId="0" fillId="8" borderId="0" xfId="0" applyNumberFormat="1" applyFill="1" applyAlignment="1" applyProtection="1">
      <alignment horizontal="center"/>
    </xf>
    <xf numFmtId="3" fontId="0" fillId="8" borderId="0" xfId="0" applyNumberFormat="1" applyFill="1" applyAlignment="1" applyProtection="1">
      <alignment horizontal="center"/>
    </xf>
    <xf numFmtId="0" fontId="0" fillId="8" borderId="16" xfId="0" applyFill="1" applyBorder="1" applyAlignment="1" applyProtection="1">
      <alignment horizontal="center"/>
    </xf>
    <xf numFmtId="0" fontId="0" fillId="8" borderId="16" xfId="0" applyFill="1" applyBorder="1" applyProtection="1"/>
    <xf numFmtId="0" fontId="0" fillId="8" borderId="26" xfId="0" applyFill="1" applyBorder="1" applyProtection="1"/>
    <xf numFmtId="0" fontId="0" fillId="8" borderId="26" xfId="0" applyFill="1" applyBorder="1" applyAlignment="1" applyProtection="1">
      <alignment horizontal="center"/>
    </xf>
    <xf numFmtId="3" fontId="34" fillId="8" borderId="26" xfId="0" applyNumberFormat="1" applyFont="1" applyFill="1" applyBorder="1" applyAlignment="1" applyProtection="1">
      <alignment vertical="center" wrapText="1"/>
    </xf>
    <xf numFmtId="3" fontId="34" fillId="8" borderId="26" xfId="0" applyNumberFormat="1" applyFont="1" applyFill="1" applyBorder="1" applyAlignment="1" applyProtection="1">
      <alignment horizontal="center" vertical="center" wrapText="1"/>
    </xf>
    <xf numFmtId="3" fontId="34" fillId="8" borderId="0" xfId="0" applyNumberFormat="1" applyFont="1" applyFill="1" applyAlignment="1" applyProtection="1">
      <alignment vertical="center" wrapText="1"/>
    </xf>
    <xf numFmtId="3" fontId="34" fillId="8" borderId="0" xfId="0" applyNumberFormat="1" applyFont="1" applyFill="1" applyAlignment="1" applyProtection="1">
      <alignment vertical="center"/>
    </xf>
    <xf numFmtId="3" fontId="34" fillId="8" borderId="0" xfId="0" applyNumberFormat="1" applyFont="1" applyFill="1" applyAlignment="1" applyProtection="1">
      <alignment horizontal="center" vertical="center" wrapText="1"/>
    </xf>
    <xf numFmtId="3" fontId="34" fillId="8" borderId="16" xfId="0" applyNumberFormat="1" applyFont="1" applyFill="1" applyBorder="1" applyAlignment="1" applyProtection="1">
      <alignment vertical="center" wrapText="1"/>
    </xf>
    <xf numFmtId="3" fontId="34" fillId="8" borderId="16" xfId="0" applyNumberFormat="1" applyFont="1" applyFill="1" applyBorder="1" applyAlignment="1" applyProtection="1">
      <alignment horizontal="center" vertical="center" wrapText="1"/>
    </xf>
    <xf numFmtId="1" fontId="35" fillId="8" borderId="0" xfId="0" applyNumberFormat="1" applyFont="1" applyFill="1" applyAlignment="1" applyProtection="1">
      <alignment horizontal="center" vertical="center"/>
    </xf>
    <xf numFmtId="3" fontId="35" fillId="8" borderId="0" xfId="0" applyNumberFormat="1" applyFont="1" applyFill="1" applyAlignment="1" applyProtection="1">
      <alignment horizontal="center" vertical="center"/>
    </xf>
    <xf numFmtId="0" fontId="70" fillId="5" borderId="42" xfId="0" applyFont="1" applyFill="1" applyBorder="1" applyProtection="1"/>
    <xf numFmtId="0" fontId="70" fillId="5" borderId="23" xfId="0" applyFont="1" applyFill="1" applyBorder="1" applyProtection="1"/>
    <xf numFmtId="0" fontId="70" fillId="5" borderId="43" xfId="0" applyFont="1" applyFill="1" applyBorder="1" applyProtection="1"/>
    <xf numFmtId="3" fontId="70" fillId="5" borderId="42" xfId="0" applyNumberFormat="1" applyFont="1" applyFill="1" applyBorder="1" applyAlignment="1" applyProtection="1">
      <alignment vertical="center"/>
    </xf>
    <xf numFmtId="3" fontId="70" fillId="5" borderId="23" xfId="0" applyNumberFormat="1" applyFont="1" applyFill="1" applyBorder="1" applyAlignment="1" applyProtection="1">
      <alignment vertical="center"/>
    </xf>
    <xf numFmtId="3" fontId="70" fillId="5" borderId="43" xfId="0" applyNumberFormat="1" applyFont="1" applyFill="1" applyBorder="1" applyAlignment="1" applyProtection="1">
      <alignment vertical="center"/>
    </xf>
    <xf numFmtId="3" fontId="35" fillId="8" borderId="52" xfId="0" applyNumberFormat="1" applyFont="1" applyFill="1" applyBorder="1" applyAlignment="1" applyProtection="1">
      <alignment horizontal="center" vertical="center"/>
    </xf>
    <xf numFmtId="0" fontId="35" fillId="8" borderId="0" xfId="0" applyFont="1" applyFill="1" applyAlignment="1" applyProtection="1">
      <alignment horizontal="center"/>
    </xf>
    <xf numFmtId="0" fontId="70" fillId="5" borderId="23" xfId="0" applyFont="1" applyFill="1" applyBorder="1" applyAlignment="1" applyProtection="1">
      <alignment horizontal="left"/>
    </xf>
    <xf numFmtId="0" fontId="0" fillId="8" borderId="0" xfId="0" applyFill="1" applyAlignment="1" applyProtection="1">
      <alignment horizontal="center" vertical="center" textRotation="90"/>
    </xf>
    <xf numFmtId="0" fontId="46" fillId="11" borderId="7" xfId="0" applyFont="1" applyFill="1" applyBorder="1" applyAlignment="1" applyProtection="1">
      <alignment vertical="center"/>
    </xf>
    <xf numFmtId="0" fontId="46" fillId="11" borderId="6" xfId="0" applyFont="1" applyFill="1" applyBorder="1" applyAlignment="1" applyProtection="1">
      <alignment vertical="center"/>
    </xf>
    <xf numFmtId="0" fontId="46" fillId="11" borderId="8" xfId="0" applyFont="1" applyFill="1" applyBorder="1" applyAlignment="1" applyProtection="1">
      <alignment horizontal="right" vertical="center"/>
    </xf>
    <xf numFmtId="3" fontId="46" fillId="8" borderId="0" xfId="0" applyNumberFormat="1" applyFont="1" applyFill="1" applyAlignment="1" applyProtection="1">
      <alignment horizontal="center" vertical="center" textRotation="90"/>
    </xf>
    <xf numFmtId="171" fontId="46" fillId="11" borderId="59" xfId="0" applyNumberFormat="1" applyFont="1" applyFill="1" applyBorder="1" applyAlignment="1" applyProtection="1">
      <alignment horizontal="center"/>
    </xf>
    <xf numFmtId="171" fontId="46" fillId="11" borderId="61" xfId="0" applyNumberFormat="1" applyFont="1" applyFill="1" applyBorder="1" applyAlignment="1" applyProtection="1">
      <alignment horizontal="center"/>
    </xf>
    <xf numFmtId="171" fontId="46" fillId="11" borderId="60" xfId="0" applyNumberFormat="1" applyFont="1" applyFill="1" applyBorder="1" applyAlignment="1" applyProtection="1">
      <alignment horizontal="center"/>
    </xf>
    <xf numFmtId="171" fontId="46" fillId="8" borderId="0" xfId="0" applyNumberFormat="1" applyFont="1" applyFill="1" applyAlignment="1" applyProtection="1">
      <alignment horizontal="center" vertical="center" textRotation="90"/>
    </xf>
    <xf numFmtId="0" fontId="46" fillId="8" borderId="0" xfId="0" applyFont="1" applyFill="1" applyAlignment="1" applyProtection="1">
      <alignment horizontal="center" vertical="center" textRotation="90"/>
    </xf>
    <xf numFmtId="0" fontId="46" fillId="11" borderId="59" xfId="0" applyFont="1" applyFill="1" applyBorder="1" applyAlignment="1" applyProtection="1">
      <alignment horizontal="center" vertical="center"/>
    </xf>
    <xf numFmtId="9" fontId="46" fillId="11" borderId="61" xfId="0" applyNumberFormat="1" applyFont="1" applyFill="1" applyBorder="1" applyAlignment="1" applyProtection="1">
      <alignment vertical="center" wrapText="1"/>
    </xf>
    <xf numFmtId="9" fontId="46" fillId="11" borderId="60" xfId="0" applyNumberFormat="1" applyFont="1" applyFill="1" applyBorder="1" applyAlignment="1" applyProtection="1">
      <alignment vertical="center" wrapText="1"/>
    </xf>
    <xf numFmtId="0" fontId="46" fillId="8" borderId="0" xfId="0" applyFont="1" applyFill="1" applyAlignment="1" applyProtection="1">
      <alignment horizontal="center" vertical="center" textRotation="90" wrapText="1"/>
    </xf>
    <xf numFmtId="171" fontId="46" fillId="11" borderId="7" xfId="0" applyNumberFormat="1" applyFont="1" applyFill="1" applyBorder="1" applyAlignment="1" applyProtection="1">
      <alignment horizontal="center" vertical="center" textRotation="90" wrapText="1"/>
    </xf>
    <xf numFmtId="0" fontId="46" fillId="11" borderId="9" xfId="0" applyFont="1" applyFill="1" applyBorder="1" applyAlignment="1" applyProtection="1">
      <alignment vertical="center"/>
    </xf>
    <xf numFmtId="0" fontId="46" fillId="11" borderId="5" xfId="0" applyFont="1" applyFill="1" applyBorder="1" applyAlignment="1" applyProtection="1">
      <alignment vertical="center"/>
    </xf>
    <xf numFmtId="0" fontId="46" fillId="11" borderId="12" xfId="0" applyFont="1" applyFill="1" applyBorder="1" applyAlignment="1" applyProtection="1">
      <alignment horizontal="right" vertical="center"/>
    </xf>
    <xf numFmtId="3" fontId="46" fillId="11" borderId="63" xfId="0" applyNumberFormat="1" applyFont="1" applyFill="1" applyBorder="1" applyAlignment="1" applyProtection="1">
      <alignment horizontal="center"/>
    </xf>
    <xf numFmtId="3" fontId="46" fillId="11" borderId="64" xfId="0" applyNumberFormat="1" applyFont="1" applyFill="1" applyBorder="1" applyAlignment="1" applyProtection="1">
      <alignment horizontal="center"/>
    </xf>
    <xf numFmtId="3" fontId="46" fillId="11" borderId="66" xfId="0" applyNumberFormat="1" applyFont="1" applyFill="1" applyBorder="1" applyAlignment="1" applyProtection="1">
      <alignment horizontal="center"/>
    </xf>
    <xf numFmtId="0" fontId="46" fillId="11" borderId="63" xfId="0" applyFont="1" applyFill="1" applyBorder="1" applyAlignment="1" applyProtection="1">
      <alignment horizontal="center" vertical="center"/>
    </xf>
    <xf numFmtId="9" fontId="46" fillId="11" borderId="64" xfId="0" applyNumberFormat="1" applyFont="1" applyFill="1" applyBorder="1" applyAlignment="1" applyProtection="1">
      <alignment vertical="center" wrapText="1"/>
    </xf>
    <xf numFmtId="9" fontId="46" fillId="11" borderId="66" xfId="0" applyNumberFormat="1" applyFont="1" applyFill="1" applyBorder="1" applyAlignment="1" applyProtection="1">
      <alignment vertical="center" wrapText="1"/>
    </xf>
    <xf numFmtId="171" fontId="46" fillId="11" borderId="11" xfId="0" applyNumberFormat="1" applyFont="1" applyFill="1" applyBorder="1" applyAlignment="1" applyProtection="1">
      <alignment horizontal="center" vertical="center" textRotation="90" wrapText="1"/>
    </xf>
    <xf numFmtId="0" fontId="71" fillId="11" borderId="42" xfId="0" applyFont="1" applyFill="1" applyBorder="1" applyAlignment="1" applyProtection="1">
      <alignment vertical="center"/>
    </xf>
    <xf numFmtId="0" fontId="71" fillId="11" borderId="23" xfId="0" applyFont="1" applyFill="1" applyBorder="1" applyAlignment="1" applyProtection="1">
      <alignment vertical="center"/>
    </xf>
    <xf numFmtId="0" fontId="71" fillId="11" borderId="43" xfId="0" applyFont="1" applyFill="1" applyBorder="1" applyAlignment="1" applyProtection="1">
      <alignment vertical="center"/>
    </xf>
    <xf numFmtId="3" fontId="0" fillId="8" borderId="0" xfId="0" applyNumberFormat="1" applyFill="1" applyAlignment="1" applyProtection="1">
      <alignment horizontal="center" vertical="center"/>
    </xf>
    <xf numFmtId="0" fontId="66" fillId="8" borderId="0" xfId="0" applyFont="1" applyFill="1" applyAlignment="1" applyProtection="1">
      <alignment vertical="center"/>
    </xf>
    <xf numFmtId="0" fontId="66" fillId="8" borderId="0" xfId="0" applyFont="1" applyFill="1" applyAlignment="1" applyProtection="1">
      <alignment horizontal="center" vertical="center"/>
    </xf>
    <xf numFmtId="0" fontId="72" fillId="8" borderId="11" xfId="0" applyFont="1" applyFill="1" applyBorder="1" applyAlignment="1" applyProtection="1">
      <alignment horizontal="center" vertical="center"/>
    </xf>
    <xf numFmtId="3" fontId="46" fillId="8" borderId="0" xfId="0" applyNumberFormat="1" applyFont="1" applyFill="1" applyAlignment="1" applyProtection="1">
      <alignment horizontal="center" vertical="center"/>
    </xf>
    <xf numFmtId="0" fontId="46" fillId="8" borderId="0" xfId="0" applyFont="1" applyFill="1" applyAlignment="1" applyProtection="1">
      <alignment vertical="center"/>
    </xf>
    <xf numFmtId="0" fontId="46" fillId="8" borderId="0" xfId="0" applyFont="1" applyFill="1" applyAlignment="1" applyProtection="1">
      <alignment horizontal="center" vertical="center"/>
    </xf>
    <xf numFmtId="171" fontId="46" fillId="11" borderId="9" xfId="0" applyNumberFormat="1" applyFont="1" applyFill="1" applyBorder="1" applyAlignment="1" applyProtection="1">
      <alignment horizontal="center" vertical="center"/>
    </xf>
    <xf numFmtId="0" fontId="46" fillId="11" borderId="0" xfId="0" applyFont="1" applyFill="1" applyProtection="1"/>
    <xf numFmtId="0" fontId="74" fillId="11" borderId="17" xfId="0" applyFont="1" applyFill="1" applyBorder="1" applyAlignment="1" applyProtection="1">
      <alignment horizontal="center"/>
    </xf>
    <xf numFmtId="0" fontId="74" fillId="11" borderId="17" xfId="0" applyFont="1" applyFill="1" applyBorder="1" applyProtection="1"/>
    <xf numFmtId="0" fontId="4" fillId="8" borderId="17" xfId="0" applyFont="1" applyFill="1" applyBorder="1" applyAlignment="1" applyProtection="1">
      <alignment horizontal="center" vertical="center"/>
    </xf>
    <xf numFmtId="0" fontId="4" fillId="8" borderId="42" xfId="0" applyFont="1" applyFill="1" applyBorder="1" applyAlignment="1" applyProtection="1">
      <alignment vertical="center"/>
    </xf>
    <xf numFmtId="3" fontId="34" fillId="8" borderId="0" xfId="0" applyNumberFormat="1" applyFont="1" applyFill="1" applyAlignment="1" applyProtection="1">
      <alignment horizontal="left" vertical="center"/>
    </xf>
    <xf numFmtId="3" fontId="70" fillId="5" borderId="23" xfId="0" applyNumberFormat="1" applyFont="1" applyFill="1" applyBorder="1" applyAlignment="1" applyProtection="1">
      <alignment horizontal="left" vertical="center"/>
    </xf>
    <xf numFmtId="0" fontId="0" fillId="5" borderId="0" xfId="0" applyFill="1" applyAlignment="1" applyProtection="1">
      <alignment horizontal="center"/>
    </xf>
    <xf numFmtId="0" fontId="0" fillId="5" borderId="7" xfId="0" applyFill="1" applyBorder="1" applyAlignment="1" applyProtection="1">
      <alignment horizontal="center"/>
    </xf>
    <xf numFmtId="3" fontId="70" fillId="5" borderId="42" xfId="0" applyNumberFormat="1" applyFont="1" applyFill="1" applyBorder="1" applyAlignment="1" applyProtection="1">
      <alignment horizontal="center" vertical="center"/>
    </xf>
    <xf numFmtId="3" fontId="70" fillId="5" borderId="43" xfId="0" applyNumberFormat="1" applyFont="1" applyFill="1" applyBorder="1" applyAlignment="1" applyProtection="1">
      <alignment horizontal="center" vertical="center"/>
    </xf>
    <xf numFmtId="171" fontId="46" fillId="11" borderId="67" xfId="0" applyNumberFormat="1" applyFont="1" applyFill="1" applyBorder="1" applyAlignment="1" applyProtection="1">
      <alignment horizontal="center" vertical="center" textRotation="90" wrapText="1"/>
    </xf>
    <xf numFmtId="171" fontId="46" fillId="11" borderId="68" xfId="0" applyNumberFormat="1" applyFont="1" applyFill="1" applyBorder="1" applyAlignment="1" applyProtection="1">
      <alignment horizontal="center" vertical="center" textRotation="90" wrapText="1"/>
    </xf>
    <xf numFmtId="0" fontId="71" fillId="11" borderId="23" xfId="0" applyFont="1" applyFill="1" applyBorder="1" applyAlignment="1" applyProtection="1">
      <alignment horizontal="left" vertical="center"/>
    </xf>
    <xf numFmtId="0" fontId="71" fillId="11" borderId="42" xfId="0" applyFont="1" applyFill="1" applyBorder="1" applyAlignment="1" applyProtection="1">
      <alignment horizontal="left" vertical="center"/>
    </xf>
    <xf numFmtId="171" fontId="73" fillId="11" borderId="67" xfId="0" applyNumberFormat="1" applyFont="1" applyFill="1" applyBorder="1" applyAlignment="1" applyProtection="1">
      <alignment horizontal="center" vertical="center"/>
    </xf>
    <xf numFmtId="0" fontId="74" fillId="11" borderId="42" xfId="0" applyFont="1" applyFill="1" applyBorder="1" applyProtection="1"/>
    <xf numFmtId="0" fontId="0" fillId="11" borderId="43" xfId="0" applyFill="1" applyBorder="1" applyAlignment="1" applyProtection="1">
      <alignment horizontal="center"/>
    </xf>
    <xf numFmtId="0" fontId="0" fillId="8" borderId="0" xfId="0" applyFill="1" applyBorder="1" applyAlignment="1" applyProtection="1">
      <alignment horizontal="center"/>
    </xf>
    <xf numFmtId="0" fontId="0" fillId="8" borderId="43" xfId="0" applyFill="1" applyBorder="1" applyAlignment="1" applyProtection="1">
      <alignment horizontal="center"/>
    </xf>
    <xf numFmtId="3" fontId="36" fillId="8" borderId="0" xfId="0" applyNumberFormat="1" applyFont="1" applyFill="1" applyBorder="1" applyAlignment="1" applyProtection="1">
      <alignment horizontal="center"/>
    </xf>
    <xf numFmtId="3" fontId="0" fillId="8" borderId="0" xfId="0" applyNumberFormat="1" applyFill="1" applyBorder="1" applyAlignment="1" applyProtection="1">
      <alignment horizontal="center"/>
    </xf>
    <xf numFmtId="0" fontId="0" fillId="8" borderId="0" xfId="0" applyFill="1" applyBorder="1" applyProtection="1"/>
    <xf numFmtId="49" fontId="67" fillId="12" borderId="22" xfId="3" applyNumberFormat="1" applyFont="1" applyFill="1" applyBorder="1" applyAlignment="1" applyProtection="1">
      <alignment horizontal="left"/>
      <protection locked="0"/>
    </xf>
    <xf numFmtId="0" fontId="79" fillId="8" borderId="0" xfId="0" applyFont="1" applyFill="1" applyProtection="1"/>
    <xf numFmtId="0" fontId="9" fillId="8" borderId="0" xfId="0" applyFont="1" applyFill="1" applyProtection="1"/>
    <xf numFmtId="0" fontId="83" fillId="8" borderId="0" xfId="4" applyFont="1" applyFill="1" applyAlignment="1" applyProtection="1">
      <alignment vertical="top" wrapText="1"/>
    </xf>
    <xf numFmtId="0" fontId="9" fillId="8" borderId="0" xfId="0" applyFont="1" applyFill="1" applyAlignment="1" applyProtection="1">
      <alignment wrapText="1"/>
    </xf>
    <xf numFmtId="0" fontId="0" fillId="10" borderId="0" xfId="0" applyFill="1" applyProtection="1"/>
    <xf numFmtId="0" fontId="67" fillId="8" borderId="16" xfId="0" applyFont="1" applyFill="1" applyBorder="1" applyProtection="1"/>
    <xf numFmtId="3" fontId="67" fillId="8" borderId="16" xfId="0" applyNumberFormat="1" applyFont="1" applyFill="1" applyBorder="1" applyAlignment="1" applyProtection="1">
      <alignment horizontal="center"/>
    </xf>
    <xf numFmtId="0" fontId="67" fillId="8" borderId="0" xfId="0" applyFont="1" applyFill="1" applyProtection="1"/>
    <xf numFmtId="0" fontId="67" fillId="8" borderId="6" xfId="0" applyFont="1" applyFill="1" applyBorder="1" applyProtection="1"/>
    <xf numFmtId="3" fontId="68" fillId="8" borderId="6" xfId="0" applyNumberFormat="1" applyFont="1" applyFill="1" applyBorder="1" applyAlignment="1" applyProtection="1">
      <alignment horizontal="center" vertical="center"/>
    </xf>
    <xf numFmtId="0" fontId="69" fillId="11" borderId="0" xfId="0" applyFont="1" applyFill="1" applyProtection="1"/>
    <xf numFmtId="0" fontId="0" fillId="0" borderId="0" xfId="0" applyProtection="1"/>
    <xf numFmtId="0" fontId="0" fillId="8" borderId="27" xfId="0" applyFill="1" applyBorder="1" applyProtection="1"/>
    <xf numFmtId="0" fontId="40" fillId="8" borderId="27" xfId="0" applyFont="1" applyFill="1" applyBorder="1" applyAlignment="1" applyProtection="1">
      <alignment vertical="center" wrapText="1"/>
    </xf>
    <xf numFmtId="0" fontId="4" fillId="10" borderId="5" xfId="0" applyFont="1" applyFill="1" applyBorder="1" applyProtection="1"/>
    <xf numFmtId="0" fontId="0" fillId="10" borderId="5" xfId="0" applyFill="1" applyBorder="1" applyProtection="1"/>
    <xf numFmtId="0" fontId="4" fillId="10" borderId="0" xfId="0" applyFont="1" applyFill="1" applyProtection="1"/>
    <xf numFmtId="0" fontId="17" fillId="0" borderId="0" xfId="0" applyFont="1" applyProtection="1"/>
    <xf numFmtId="0" fontId="22" fillId="11" borderId="6" xfId="0" applyFont="1" applyFill="1" applyBorder="1" applyProtection="1"/>
    <xf numFmtId="0" fontId="22" fillId="11" borderId="6" xfId="0" applyFont="1" applyFill="1" applyBorder="1" applyAlignment="1" applyProtection="1">
      <alignment horizontal="center" vertical="center"/>
    </xf>
    <xf numFmtId="0" fontId="22" fillId="11" borderId="8" xfId="0" applyFont="1" applyFill="1" applyBorder="1" applyAlignment="1" applyProtection="1">
      <alignment horizontal="right"/>
    </xf>
    <xf numFmtId="0" fontId="15" fillId="0" borderId="11" xfId="0" applyFont="1" applyBorder="1" applyAlignment="1" applyProtection="1">
      <alignment horizontal="left" wrapText="1"/>
    </xf>
    <xf numFmtId="0" fontId="15" fillId="0" borderId="0" xfId="0" applyFont="1" applyBorder="1" applyAlignment="1" applyProtection="1">
      <alignment horizontal="left" wrapText="1"/>
    </xf>
    <xf numFmtId="0" fontId="25" fillId="0" borderId="0" xfId="0" applyFont="1" applyBorder="1" applyAlignment="1" applyProtection="1">
      <alignment horizontal="center" vertical="center" wrapText="1"/>
    </xf>
    <xf numFmtId="0" fontId="15" fillId="0" borderId="0" xfId="0" applyFont="1" applyBorder="1" applyAlignment="1" applyProtection="1">
      <alignment horizontal="right" vertical="center" wrapText="1"/>
    </xf>
    <xf numFmtId="0" fontId="15" fillId="0" borderId="0" xfId="0" applyFont="1" applyBorder="1" applyAlignment="1" applyProtection="1">
      <alignment horizontal="center" vertical="center" wrapText="1"/>
    </xf>
    <xf numFmtId="0" fontId="15" fillId="0" borderId="10" xfId="0" applyFont="1" applyBorder="1" applyAlignment="1" applyProtection="1">
      <alignment horizontal="center"/>
    </xf>
    <xf numFmtId="0" fontId="0" fillId="0" borderId="0" xfId="0" applyAlignment="1" applyProtection="1"/>
    <xf numFmtId="0" fontId="42" fillId="11" borderId="28" xfId="0" applyFont="1" applyFill="1" applyBorder="1" applyAlignment="1" applyProtection="1">
      <alignment wrapText="1"/>
    </xf>
    <xf numFmtId="0" fontId="15" fillId="0" borderId="28" xfId="0" applyFont="1" applyBorder="1" applyAlignment="1" applyProtection="1">
      <alignment horizontal="center" wrapText="1"/>
    </xf>
    <xf numFmtId="0" fontId="15" fillId="0" borderId="28" xfId="0" applyFont="1" applyBorder="1" applyAlignment="1" applyProtection="1">
      <alignment horizontal="right" wrapText="1"/>
    </xf>
    <xf numFmtId="0" fontId="88" fillId="0" borderId="41" xfId="0" applyFont="1" applyBorder="1" applyAlignment="1" applyProtection="1">
      <alignment horizontal="center"/>
    </xf>
    <xf numFmtId="0" fontId="4" fillId="10" borderId="0" xfId="0" applyFont="1" applyFill="1" applyAlignment="1" applyProtection="1">
      <alignment horizontal="right"/>
    </xf>
    <xf numFmtId="0" fontId="0" fillId="0" borderId="0" xfId="0" applyAlignment="1" applyProtection="1">
      <alignment vertical="center"/>
    </xf>
    <xf numFmtId="0" fontId="86" fillId="11" borderId="11" xfId="0" applyFont="1" applyFill="1" applyBorder="1" applyAlignment="1" applyProtection="1">
      <alignment horizontal="left" vertical="center" indent="1"/>
    </xf>
    <xf numFmtId="0" fontId="43" fillId="11" borderId="0" xfId="0" applyFont="1" applyFill="1" applyBorder="1" applyAlignment="1" applyProtection="1">
      <alignment vertical="center"/>
    </xf>
    <xf numFmtId="0" fontId="15" fillId="0" borderId="39" xfId="0" applyFont="1" applyBorder="1" applyAlignment="1" applyProtection="1">
      <alignment horizontal="center" vertical="center"/>
    </xf>
    <xf numFmtId="0" fontId="15" fillId="0" borderId="10" xfId="0" applyFont="1" applyBorder="1" applyAlignment="1" applyProtection="1">
      <alignment horizontal="center" vertical="center"/>
    </xf>
    <xf numFmtId="0" fontId="4" fillId="10" borderId="0" xfId="0" applyFont="1" applyFill="1" applyAlignment="1" applyProtection="1">
      <alignment vertical="center"/>
    </xf>
    <xf numFmtId="0" fontId="0" fillId="0" borderId="0" xfId="0" applyAlignment="1" applyProtection="1">
      <alignment horizontal="left" vertical="center"/>
    </xf>
    <xf numFmtId="0" fontId="86" fillId="11" borderId="11" xfId="0" applyFont="1" applyFill="1" applyBorder="1" applyAlignment="1" applyProtection="1">
      <alignment horizontal="left" vertical="center" wrapText="1" indent="1"/>
    </xf>
    <xf numFmtId="0" fontId="86" fillId="11" borderId="35" xfId="0" applyFont="1" applyFill="1" applyBorder="1" applyAlignment="1" applyProtection="1">
      <alignment horizontal="left" vertical="center" indent="1"/>
    </xf>
    <xf numFmtId="0" fontId="43" fillId="11" borderId="36" xfId="0" applyFont="1" applyFill="1" applyBorder="1" applyAlignment="1" applyProtection="1">
      <alignment vertical="center"/>
    </xf>
    <xf numFmtId="0" fontId="15" fillId="0" borderId="36" xfId="0" applyFont="1" applyBorder="1" applyAlignment="1" applyProtection="1">
      <alignment horizontal="center" vertical="center" wrapText="1"/>
    </xf>
    <xf numFmtId="0" fontId="15" fillId="0" borderId="40" xfId="0" applyFont="1" applyBorder="1" applyAlignment="1" applyProtection="1">
      <alignment horizontal="center" vertical="center"/>
    </xf>
    <xf numFmtId="0" fontId="15" fillId="0" borderId="38" xfId="0" applyFont="1" applyBorder="1" applyAlignment="1" applyProtection="1">
      <alignment horizontal="center" vertical="center" wrapText="1"/>
    </xf>
    <xf numFmtId="2" fontId="4" fillId="10" borderId="0" xfId="0" quotePrefix="1" applyNumberFormat="1" applyFont="1" applyFill="1" applyAlignment="1" applyProtection="1">
      <alignment vertical="center"/>
    </xf>
    <xf numFmtId="0" fontId="15" fillId="8" borderId="0" xfId="0" applyFont="1" applyFill="1" applyBorder="1" applyAlignment="1" applyProtection="1">
      <alignment horizontal="center" vertical="center" wrapText="1"/>
    </xf>
    <xf numFmtId="0" fontId="86" fillId="11" borderId="11" xfId="0" applyFont="1" applyFill="1" applyBorder="1" applyAlignment="1" applyProtection="1">
      <alignment vertical="center"/>
    </xf>
    <xf numFmtId="0" fontId="4" fillId="10" borderId="0" xfId="0" applyFont="1" applyFill="1" applyAlignment="1" applyProtection="1">
      <alignment horizontal="left" vertical="center"/>
    </xf>
    <xf numFmtId="0" fontId="29" fillId="10" borderId="5" xfId="0" applyFont="1" applyFill="1" applyBorder="1" applyAlignment="1" applyProtection="1">
      <alignment vertical="center"/>
    </xf>
    <xf numFmtId="0" fontId="4" fillId="10" borderId="5" xfId="0" applyFont="1" applyFill="1" applyBorder="1" applyAlignment="1" applyProtection="1">
      <alignment vertical="center"/>
    </xf>
    <xf numFmtId="0" fontId="15" fillId="8" borderId="36" xfId="0" applyFont="1" applyFill="1" applyBorder="1" applyAlignment="1" applyProtection="1">
      <alignment horizontal="center" vertical="center" wrapText="1"/>
    </xf>
    <xf numFmtId="0" fontId="15" fillId="0" borderId="11" xfId="0" applyFont="1" applyBorder="1" applyAlignment="1" applyProtection="1">
      <alignment horizontal="left"/>
    </xf>
    <xf numFmtId="0" fontId="15" fillId="0" borderId="0" xfId="0" applyFont="1" applyBorder="1" applyAlignment="1" applyProtection="1">
      <alignment horizontal="left"/>
    </xf>
    <xf numFmtId="0" fontId="15" fillId="0" borderId="0" xfId="0" applyFont="1" applyBorder="1" applyAlignment="1" applyProtection="1">
      <alignment horizontal="center" vertical="center"/>
    </xf>
    <xf numFmtId="0" fontId="15" fillId="8" borderId="0" xfId="0" applyFont="1" applyFill="1" applyBorder="1" applyAlignment="1" applyProtection="1">
      <alignment horizontal="center" vertical="center"/>
    </xf>
    <xf numFmtId="0" fontId="4" fillId="10" borderId="0" xfId="0" applyFont="1" applyFill="1" applyAlignment="1" applyProtection="1">
      <alignment horizontal="left"/>
    </xf>
    <xf numFmtId="0" fontId="42" fillId="11" borderId="28" xfId="0" applyFont="1" applyFill="1" applyBorder="1" applyAlignment="1" applyProtection="1"/>
    <xf numFmtId="0" fontId="43" fillId="11" borderId="37" xfId="0" applyFont="1" applyFill="1" applyBorder="1" applyAlignment="1" applyProtection="1">
      <alignment horizontal="left" vertical="center" indent="1"/>
    </xf>
    <xf numFmtId="0" fontId="43" fillId="11" borderId="38" xfId="0" applyFont="1" applyFill="1" applyBorder="1" applyAlignment="1" applyProtection="1">
      <alignment vertical="center"/>
    </xf>
    <xf numFmtId="0" fontId="43" fillId="11" borderId="11" xfId="0" applyFont="1" applyFill="1" applyBorder="1" applyAlignment="1" applyProtection="1">
      <alignment vertical="center" wrapText="1"/>
    </xf>
    <xf numFmtId="0" fontId="43" fillId="11" borderId="0" xfId="0" applyFont="1" applyFill="1" applyBorder="1" applyAlignment="1" applyProtection="1">
      <alignment vertical="center" wrapText="1"/>
    </xf>
    <xf numFmtId="0" fontId="43" fillId="11" borderId="35" xfId="0" applyFont="1" applyFill="1" applyBorder="1" applyAlignment="1" applyProtection="1">
      <alignment horizontal="left" vertical="center" wrapText="1" indent="1"/>
    </xf>
    <xf numFmtId="0" fontId="15" fillId="0" borderId="11"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22" fillId="11" borderId="5" xfId="0" applyFont="1" applyFill="1" applyBorder="1" applyAlignment="1" applyProtection="1">
      <alignment horizontal="left" vertical="center" wrapText="1"/>
    </xf>
    <xf numFmtId="0" fontId="22" fillId="11" borderId="5" xfId="0" applyFont="1" applyFill="1" applyBorder="1" applyAlignment="1" applyProtection="1">
      <alignment horizontal="right" vertical="center" wrapText="1"/>
    </xf>
    <xf numFmtId="0" fontId="22" fillId="11" borderId="12" xfId="0" applyFont="1" applyFill="1" applyBorder="1" applyAlignment="1" applyProtection="1">
      <alignment horizontal="center" vertical="center"/>
    </xf>
    <xf numFmtId="0" fontId="17" fillId="0" borderId="0" xfId="0" applyFont="1" applyAlignment="1" applyProtection="1">
      <alignment vertical="center"/>
    </xf>
    <xf numFmtId="0" fontId="29" fillId="10" borderId="5" xfId="0" applyFont="1" applyFill="1" applyBorder="1" applyProtection="1"/>
    <xf numFmtId="0" fontId="16" fillId="8" borderId="0" xfId="0" applyFont="1" applyFill="1" applyAlignment="1" applyProtection="1">
      <alignment horizontal="left"/>
    </xf>
    <xf numFmtId="165" fontId="4" fillId="10" borderId="0" xfId="0" applyNumberFormat="1" applyFont="1" applyFill="1" applyProtection="1"/>
    <xf numFmtId="0" fontId="16" fillId="4" borderId="0" xfId="0" applyFont="1" applyFill="1" applyAlignment="1" applyProtection="1">
      <alignment horizontal="left"/>
    </xf>
    <xf numFmtId="0" fontId="24" fillId="5" borderId="30" xfId="0" applyFont="1" applyFill="1" applyBorder="1" applyAlignment="1" applyProtection="1">
      <alignment vertical="center"/>
    </xf>
    <xf numFmtId="0" fontId="24" fillId="5" borderId="30" xfId="0" applyFont="1" applyFill="1" applyBorder="1" applyAlignment="1" applyProtection="1">
      <alignment horizontal="right" vertical="center"/>
    </xf>
    <xf numFmtId="0" fontId="24" fillId="5" borderId="31" xfId="0" applyFont="1" applyFill="1" applyBorder="1" applyAlignment="1" applyProtection="1">
      <alignment vertical="center"/>
    </xf>
    <xf numFmtId="0" fontId="16" fillId="6" borderId="0" xfId="0" applyFont="1" applyFill="1" applyAlignment="1" applyProtection="1">
      <alignment horizontal="left"/>
    </xf>
    <xf numFmtId="0" fontId="2" fillId="0" borderId="13" xfId="0" applyFont="1" applyBorder="1" applyProtection="1"/>
    <xf numFmtId="0" fontId="2" fillId="0" borderId="0" xfId="0" applyFont="1" applyBorder="1" applyProtection="1"/>
    <xf numFmtId="0" fontId="2" fillId="0" borderId="0" xfId="0" applyFont="1" applyBorder="1" applyAlignment="1" applyProtection="1">
      <alignment horizontal="right"/>
    </xf>
    <xf numFmtId="0" fontId="2" fillId="0" borderId="2" xfId="0" applyFont="1" applyBorder="1" applyProtection="1"/>
    <xf numFmtId="0" fontId="16" fillId="7" borderId="0" xfId="0" applyFont="1" applyFill="1" applyAlignment="1" applyProtection="1">
      <alignment horizontal="left"/>
    </xf>
    <xf numFmtId="0" fontId="20" fillId="13" borderId="0" xfId="0" applyFont="1" applyFill="1" applyBorder="1" applyAlignment="1" applyProtection="1">
      <alignment vertical="center"/>
    </xf>
    <xf numFmtId="0" fontId="19" fillId="13" borderId="0" xfId="0" applyFont="1" applyFill="1" applyBorder="1" applyProtection="1"/>
    <xf numFmtId="0" fontId="19" fillId="13" borderId="0" xfId="0" applyFont="1" applyFill="1" applyBorder="1" applyAlignment="1" applyProtection="1">
      <alignment horizontal="right"/>
    </xf>
    <xf numFmtId="0" fontId="1" fillId="0" borderId="13" xfId="0" applyFont="1" applyBorder="1" applyProtection="1"/>
    <xf numFmtId="0" fontId="1" fillId="0" borderId="0" xfId="0" applyFont="1" applyBorder="1" applyProtection="1"/>
    <xf numFmtId="0" fontId="1" fillId="0" borderId="0" xfId="0" applyFont="1" applyBorder="1" applyAlignment="1" applyProtection="1">
      <alignment horizontal="right"/>
    </xf>
    <xf numFmtId="0" fontId="1" fillId="0" borderId="2" xfId="0" applyFont="1" applyBorder="1" applyProtection="1"/>
    <xf numFmtId="0" fontId="1" fillId="0" borderId="13" xfId="0" applyFont="1" applyBorder="1" applyAlignment="1" applyProtection="1">
      <alignment horizontal="right"/>
    </xf>
    <xf numFmtId="0" fontId="20" fillId="11" borderId="0" xfId="0" applyFont="1" applyFill="1" applyBorder="1" applyAlignment="1" applyProtection="1">
      <alignment vertical="center"/>
    </xf>
    <xf numFmtId="0" fontId="19" fillId="11" borderId="0" xfId="0" applyFont="1" applyFill="1" applyBorder="1" applyProtection="1"/>
    <xf numFmtId="0" fontId="19" fillId="11" borderId="0" xfId="0" applyFont="1" applyFill="1" applyBorder="1" applyAlignment="1" applyProtection="1">
      <alignment horizontal="right"/>
    </xf>
    <xf numFmtId="0" fontId="19" fillId="11" borderId="2" xfId="0" applyFont="1" applyFill="1" applyBorder="1" applyAlignment="1" applyProtection="1">
      <alignment horizontal="right"/>
    </xf>
    <xf numFmtId="0" fontId="4" fillId="0" borderId="0" xfId="0" applyFont="1" applyProtection="1"/>
    <xf numFmtId="0" fontId="21" fillId="0" borderId="13" xfId="0" applyFont="1" applyBorder="1" applyProtection="1"/>
    <xf numFmtId="0" fontId="21" fillId="0" borderId="0" xfId="0" applyFont="1" applyBorder="1" applyProtection="1"/>
    <xf numFmtId="0" fontId="2" fillId="0" borderId="0" xfId="0" applyFont="1" applyBorder="1" applyAlignment="1" applyProtection="1"/>
    <xf numFmtId="0" fontId="14" fillId="0" borderId="0" xfId="0" quotePrefix="1" applyFont="1" applyBorder="1" applyAlignment="1" applyProtection="1">
      <alignment horizontal="center" vertical="center"/>
    </xf>
    <xf numFmtId="0" fontId="33" fillId="0" borderId="0" xfId="0" applyFont="1" applyBorder="1" applyAlignment="1" applyProtection="1">
      <alignment horizontal="right"/>
    </xf>
    <xf numFmtId="0" fontId="33" fillId="0" borderId="0" xfId="0" applyFont="1" applyBorder="1" applyProtection="1"/>
    <xf numFmtId="0" fontId="1" fillId="0" borderId="13" xfId="0" applyFont="1" applyBorder="1" applyAlignment="1" applyProtection="1"/>
    <xf numFmtId="0" fontId="1" fillId="0" borderId="0" xfId="0" applyFont="1" applyBorder="1" applyAlignment="1" applyProtection="1"/>
    <xf numFmtId="0" fontId="1" fillId="0" borderId="0" xfId="0" applyFont="1" applyBorder="1" applyAlignment="1" applyProtection="1">
      <alignment vertical="center"/>
    </xf>
    <xf numFmtId="0" fontId="14" fillId="0" borderId="0" xfId="0" quotePrefix="1" applyFont="1" applyBorder="1" applyAlignment="1" applyProtection="1">
      <alignment horizontal="right" vertical="center"/>
    </xf>
    <xf numFmtId="0" fontId="2" fillId="0" borderId="0" xfId="0" applyFont="1" applyBorder="1" applyAlignment="1" applyProtection="1">
      <alignment horizontal="left"/>
    </xf>
    <xf numFmtId="0" fontId="5" fillId="0" borderId="0" xfId="0" applyFont="1" applyBorder="1" applyAlignment="1" applyProtection="1">
      <alignment horizontal="right" vertical="center"/>
    </xf>
    <xf numFmtId="0" fontId="0" fillId="0" borderId="34" xfId="0" applyBorder="1" applyProtection="1"/>
    <xf numFmtId="0" fontId="0" fillId="0" borderId="14" xfId="0" applyBorder="1" applyProtection="1"/>
    <xf numFmtId="0" fontId="0" fillId="0" borderId="14" xfId="0" applyBorder="1" applyAlignment="1" applyProtection="1">
      <alignment horizontal="center" vertical="center"/>
    </xf>
    <xf numFmtId="0" fontId="0" fillId="0" borderId="14" xfId="0" applyBorder="1" applyAlignment="1" applyProtection="1">
      <alignment horizontal="right" vertical="center"/>
    </xf>
    <xf numFmtId="0" fontId="0" fillId="0" borderId="3" xfId="0" applyBorder="1" applyProtection="1"/>
    <xf numFmtId="0" fontId="0" fillId="0" borderId="0" xfId="0" applyAlignment="1" applyProtection="1">
      <alignment horizontal="center" vertical="center"/>
    </xf>
    <xf numFmtId="0" fontId="0" fillId="0" borderId="0" xfId="0" applyAlignment="1" applyProtection="1">
      <alignment horizontal="right" vertical="center"/>
    </xf>
    <xf numFmtId="0" fontId="70" fillId="5" borderId="42" xfId="0" applyFont="1" applyFill="1" applyBorder="1" applyAlignment="1" applyProtection="1">
      <alignment vertical="center"/>
    </xf>
    <xf numFmtId="0" fontId="70" fillId="5" borderId="23" xfId="0" applyFont="1" applyFill="1" applyBorder="1" applyAlignment="1" applyProtection="1">
      <alignment vertical="center"/>
    </xf>
    <xf numFmtId="0" fontId="70" fillId="5" borderId="43" xfId="0" applyFont="1" applyFill="1" applyBorder="1" applyAlignment="1" applyProtection="1">
      <alignment horizontal="right" vertical="center"/>
    </xf>
    <xf numFmtId="3" fontId="46" fillId="5" borderId="42" xfId="0" applyNumberFormat="1" applyFont="1" applyFill="1" applyBorder="1" applyAlignment="1" applyProtection="1">
      <alignment horizontal="center" vertical="center"/>
    </xf>
    <xf numFmtId="3" fontId="46" fillId="5" borderId="23" xfId="0" applyNumberFormat="1" applyFont="1" applyFill="1" applyBorder="1" applyAlignment="1" applyProtection="1">
      <alignment horizontal="center" vertical="center"/>
    </xf>
    <xf numFmtId="3" fontId="46" fillId="5" borderId="43" xfId="0" applyNumberFormat="1" applyFont="1" applyFill="1" applyBorder="1" applyAlignment="1" applyProtection="1">
      <alignment horizontal="center" vertical="center"/>
    </xf>
    <xf numFmtId="9" fontId="46" fillId="5" borderId="42" xfId="0" applyNumberFormat="1" applyFont="1" applyFill="1" applyBorder="1" applyAlignment="1" applyProtection="1">
      <alignment horizontal="center" vertical="center"/>
    </xf>
    <xf numFmtId="9" fontId="46" fillId="5" borderId="23" xfId="0" applyNumberFormat="1" applyFont="1" applyFill="1" applyBorder="1" applyAlignment="1" applyProtection="1">
      <alignment horizontal="center" vertical="center"/>
    </xf>
    <xf numFmtId="9" fontId="46" fillId="5" borderId="43" xfId="0" applyNumberFormat="1" applyFont="1" applyFill="1" applyBorder="1" applyAlignment="1" applyProtection="1">
      <alignment horizontal="center" vertical="center"/>
    </xf>
    <xf numFmtId="171" fontId="46" fillId="5" borderId="68" xfId="0" applyNumberFormat="1" applyFont="1" applyFill="1" applyBorder="1" applyAlignment="1" applyProtection="1">
      <alignment horizontal="center"/>
    </xf>
    <xf numFmtId="9" fontId="4" fillId="8" borderId="17" xfId="0" applyNumberFormat="1" applyFont="1" applyFill="1" applyBorder="1" applyAlignment="1" applyProtection="1">
      <alignment horizontal="center" vertical="center"/>
    </xf>
    <xf numFmtId="0" fontId="77" fillId="11" borderId="17" xfId="0" applyFont="1" applyFill="1" applyBorder="1" applyAlignment="1" applyProtection="1">
      <alignment horizontal="left"/>
    </xf>
    <xf numFmtId="3" fontId="36" fillId="20" borderId="6" xfId="0" applyNumberFormat="1" applyFont="1" applyFill="1" applyBorder="1" applyAlignment="1" applyProtection="1">
      <alignment horizontal="center"/>
      <protection locked="0"/>
    </xf>
    <xf numFmtId="3" fontId="36" fillId="20" borderId="23" xfId="0" applyNumberFormat="1" applyFont="1" applyFill="1" applyBorder="1" applyAlignment="1" applyProtection="1">
      <alignment horizontal="center"/>
      <protection locked="0"/>
    </xf>
    <xf numFmtId="0" fontId="0" fillId="8" borderId="17" xfId="0" applyFill="1" applyBorder="1" applyAlignment="1" applyProtection="1">
      <alignment horizontal="center"/>
    </xf>
    <xf numFmtId="171" fontId="46" fillId="11" borderId="13" xfId="0" applyNumberFormat="1" applyFont="1" applyFill="1" applyBorder="1" applyAlignment="1" applyProtection="1">
      <alignment horizontal="center"/>
      <protection locked="0"/>
    </xf>
    <xf numFmtId="0" fontId="26" fillId="0" borderId="16" xfId="0" applyFont="1" applyBorder="1" applyAlignment="1" applyProtection="1">
      <alignment horizontal="center"/>
    </xf>
    <xf numFmtId="0" fontId="0" fillId="0" borderId="16" xfId="0" applyBorder="1" applyProtection="1"/>
    <xf numFmtId="0" fontId="0" fillId="0" borderId="16" xfId="0" applyBorder="1" applyAlignment="1" applyProtection="1">
      <alignment horizontal="center"/>
    </xf>
    <xf numFmtId="0" fontId="29" fillId="0" borderId="16" xfId="0" applyFont="1" applyBorder="1" applyAlignment="1" applyProtection="1">
      <alignment horizontal="center"/>
    </xf>
    <xf numFmtId="0" fontId="26"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Protection="1"/>
    <xf numFmtId="0" fontId="29" fillId="0" borderId="0" xfId="0" applyFont="1" applyAlignment="1" applyProtection="1">
      <alignment horizontal="center"/>
    </xf>
    <xf numFmtId="3" fontId="34" fillId="8" borderId="0" xfId="0" applyNumberFormat="1" applyFont="1" applyFill="1" applyAlignment="1" applyProtection="1">
      <alignment horizontal="center" vertical="center"/>
    </xf>
    <xf numFmtId="0" fontId="0" fillId="0" borderId="44" xfId="0" applyBorder="1" applyProtection="1"/>
    <xf numFmtId="0" fontId="46" fillId="0" borderId="0" xfId="0" applyFont="1" applyAlignment="1" applyProtection="1">
      <alignment horizontal="center"/>
    </xf>
    <xf numFmtId="0" fontId="26" fillId="0" borderId="5" xfId="0" applyFont="1" applyBorder="1" applyAlignment="1" applyProtection="1">
      <alignment horizontal="center" vertical="center"/>
    </xf>
    <xf numFmtId="0" fontId="0" fillId="0" borderId="5" xfId="0" applyBorder="1" applyAlignment="1" applyProtection="1">
      <alignment vertical="center"/>
    </xf>
    <xf numFmtId="0" fontId="47" fillId="0" borderId="17" xfId="0" applyFont="1" applyBorder="1" applyAlignment="1" applyProtection="1">
      <alignment horizontal="center" vertical="center" wrapText="1"/>
    </xf>
    <xf numFmtId="0" fontId="0" fillId="0" borderId="5" xfId="0" applyBorder="1" applyAlignment="1" applyProtection="1">
      <alignment horizontal="center" vertical="center"/>
    </xf>
    <xf numFmtId="0" fontId="52" fillId="0" borderId="0" xfId="0" applyFont="1" applyBorder="1" applyAlignment="1" applyProtection="1">
      <alignment wrapText="1"/>
    </xf>
    <xf numFmtId="0" fontId="52" fillId="0" borderId="5" xfId="0" applyFont="1" applyBorder="1" applyAlignment="1" applyProtection="1">
      <alignment wrapText="1"/>
    </xf>
    <xf numFmtId="0" fontId="52" fillId="0" borderId="0" xfId="0" applyFont="1" applyAlignment="1" applyProtection="1">
      <alignment wrapText="1"/>
    </xf>
    <xf numFmtId="0" fontId="0" fillId="0" borderId="10" xfId="0" applyBorder="1" applyAlignment="1" applyProtection="1">
      <alignment horizontal="center"/>
    </xf>
    <xf numFmtId="0" fontId="0" fillId="0" borderId="10" xfId="0" applyBorder="1" applyProtection="1"/>
    <xf numFmtId="0" fontId="4" fillId="0" borderId="0" xfId="0" applyFont="1" applyProtection="1">
      <protection locked="0"/>
    </xf>
    <xf numFmtId="0" fontId="48" fillId="11" borderId="0" xfId="0" applyFont="1" applyFill="1" applyProtection="1"/>
    <xf numFmtId="0" fontId="48" fillId="11" borderId="0" xfId="0" applyFont="1" applyFill="1" applyAlignment="1" applyProtection="1">
      <alignment horizontal="center"/>
    </xf>
    <xf numFmtId="0" fontId="49" fillId="5" borderId="0" xfId="0" applyFont="1" applyFill="1" applyAlignment="1" applyProtection="1">
      <alignment horizontal="center"/>
    </xf>
    <xf numFmtId="0" fontId="4" fillId="8" borderId="5" xfId="0" applyFont="1" applyFill="1" applyBorder="1" applyAlignment="1" applyProtection="1">
      <alignment horizontal="left" vertical="center"/>
    </xf>
    <xf numFmtId="0" fontId="4" fillId="8" borderId="5" xfId="0" applyFont="1" applyFill="1" applyBorder="1" applyAlignment="1" applyProtection="1">
      <alignment horizontal="center" vertical="center"/>
    </xf>
    <xf numFmtId="0" fontId="60" fillId="5" borderId="45" xfId="0" applyFont="1" applyFill="1" applyBorder="1" applyAlignment="1" applyProtection="1">
      <alignment horizontal="left"/>
    </xf>
    <xf numFmtId="0" fontId="44" fillId="5" borderId="45" xfId="0" applyFont="1" applyFill="1" applyBorder="1" applyAlignment="1" applyProtection="1">
      <alignment horizontal="left"/>
    </xf>
    <xf numFmtId="0" fontId="61" fillId="5" borderId="45" xfId="0" applyFont="1" applyFill="1" applyBorder="1" applyProtection="1"/>
    <xf numFmtId="14" fontId="44" fillId="5" borderId="45" xfId="0" applyNumberFormat="1" applyFont="1" applyFill="1" applyBorder="1" applyAlignment="1" applyProtection="1">
      <alignment horizontal="left"/>
    </xf>
    <xf numFmtId="172" fontId="44" fillId="5" borderId="45" xfId="0" applyNumberFormat="1" applyFont="1" applyFill="1" applyBorder="1" applyAlignment="1" applyProtection="1">
      <alignment horizontal="left"/>
    </xf>
    <xf numFmtId="167" fontId="44" fillId="5" borderId="45" xfId="3" applyNumberFormat="1" applyFont="1" applyFill="1" applyBorder="1" applyAlignment="1" applyProtection="1">
      <alignment horizontal="center"/>
    </xf>
    <xf numFmtId="164" fontId="44" fillId="5" borderId="45" xfId="0" applyNumberFormat="1" applyFont="1" applyFill="1" applyBorder="1" applyAlignment="1" applyProtection="1">
      <alignment horizontal="left"/>
    </xf>
    <xf numFmtId="1" fontId="44" fillId="5" borderId="45" xfId="3" applyNumberFormat="1" applyFont="1" applyFill="1" applyBorder="1" applyAlignment="1" applyProtection="1">
      <alignment horizontal="center" vertical="center"/>
    </xf>
    <xf numFmtId="0" fontId="61" fillId="5" borderId="45" xfId="0" applyFont="1" applyFill="1" applyBorder="1" applyAlignment="1" applyProtection="1">
      <alignment horizontal="center"/>
    </xf>
    <xf numFmtId="0" fontId="62" fillId="5" borderId="45" xfId="4" applyFont="1" applyFill="1" applyBorder="1" applyProtection="1"/>
    <xf numFmtId="0" fontId="63" fillId="5" borderId="45" xfId="0" applyFont="1" applyFill="1" applyBorder="1" applyAlignment="1" applyProtection="1">
      <alignment horizontal="center"/>
    </xf>
    <xf numFmtId="0" fontId="61" fillId="5" borderId="45" xfId="0" applyFont="1" applyFill="1" applyBorder="1" applyAlignment="1" applyProtection="1">
      <alignment horizontal="center" vertical="center"/>
    </xf>
    <xf numFmtId="0" fontId="46" fillId="5" borderId="45" xfId="0" applyFont="1" applyFill="1" applyBorder="1" applyAlignment="1" applyProtection="1">
      <alignment horizontal="center"/>
    </xf>
    <xf numFmtId="165" fontId="46" fillId="5" borderId="45" xfId="0" applyNumberFormat="1" applyFont="1" applyFill="1" applyBorder="1" applyAlignment="1" applyProtection="1">
      <alignment horizontal="center"/>
    </xf>
    <xf numFmtId="2" fontId="49" fillId="5" borderId="45" xfId="0" applyNumberFormat="1" applyFont="1" applyFill="1" applyBorder="1" applyAlignment="1" applyProtection="1">
      <alignment horizontal="center"/>
    </xf>
    <xf numFmtId="0" fontId="29" fillId="0" borderId="5" xfId="0" applyFont="1" applyBorder="1" applyAlignment="1" applyProtection="1">
      <alignment horizontal="center" vertical="center"/>
    </xf>
    <xf numFmtId="0" fontId="46" fillId="0" borderId="5" xfId="0" applyFont="1" applyBorder="1" applyAlignment="1" applyProtection="1">
      <alignment horizontal="center" vertical="center"/>
    </xf>
    <xf numFmtId="0" fontId="0" fillId="0" borderId="0" xfId="0" applyBorder="1" applyAlignment="1" applyProtection="1">
      <alignment vertical="center"/>
    </xf>
    <xf numFmtId="0" fontId="0" fillId="20" borderId="0" xfId="0" applyFill="1" applyAlignment="1" applyProtection="1">
      <alignment horizontal="center"/>
    </xf>
    <xf numFmtId="0" fontId="29" fillId="20" borderId="0" xfId="0" applyFont="1" applyFill="1" applyAlignment="1" applyProtection="1">
      <alignment horizontal="left"/>
    </xf>
    <xf numFmtId="0" fontId="0" fillId="20" borderId="0" xfId="0" applyFill="1" applyProtection="1"/>
    <xf numFmtId="171" fontId="73" fillId="11" borderId="0" xfId="0" applyNumberFormat="1" applyFont="1" applyFill="1" applyBorder="1" applyAlignment="1" applyProtection="1">
      <alignment horizontal="center" vertical="center"/>
    </xf>
    <xf numFmtId="44" fontId="54" fillId="20" borderId="46" xfId="0" applyNumberFormat="1" applyFont="1" applyFill="1" applyBorder="1" applyAlignment="1" applyProtection="1">
      <alignment horizontal="center" textRotation="90" wrapText="1"/>
    </xf>
    <xf numFmtId="44" fontId="54" fillId="20" borderId="47" xfId="0" applyNumberFormat="1" applyFont="1" applyFill="1" applyBorder="1" applyAlignment="1" applyProtection="1">
      <alignment horizontal="center" textRotation="90" wrapText="1"/>
    </xf>
    <xf numFmtId="44" fontId="46" fillId="11" borderId="70" xfId="0" applyNumberFormat="1" applyFont="1" applyFill="1" applyBorder="1" applyAlignment="1" applyProtection="1">
      <alignment horizontal="center" textRotation="90" wrapText="1"/>
    </xf>
    <xf numFmtId="44" fontId="46" fillId="11" borderId="71" xfId="0" applyNumberFormat="1" applyFont="1" applyFill="1" applyBorder="1" applyAlignment="1" applyProtection="1">
      <alignment horizontal="center" textRotation="90" wrapText="1"/>
    </xf>
    <xf numFmtId="0" fontId="0" fillId="0" borderId="0" xfId="0" applyFont="1" applyAlignment="1" applyProtection="1">
      <alignment horizontal="center"/>
    </xf>
    <xf numFmtId="0" fontId="17" fillId="5" borderId="10" xfId="0" applyFont="1" applyFill="1" applyBorder="1" applyAlignment="1" applyProtection="1">
      <alignment horizontal="center"/>
    </xf>
    <xf numFmtId="0" fontId="49" fillId="5" borderId="11" xfId="0" applyFont="1" applyFill="1" applyBorder="1" applyAlignment="1" applyProtection="1"/>
    <xf numFmtId="0" fontId="49" fillId="5" borderId="0" xfId="0" applyFont="1" applyFill="1" applyAlignment="1" applyProtection="1"/>
    <xf numFmtId="0" fontId="49" fillId="5" borderId="10" xfId="0" applyFont="1" applyFill="1" applyBorder="1" applyAlignment="1" applyProtection="1">
      <alignment horizontal="center"/>
    </xf>
    <xf numFmtId="0" fontId="17" fillId="5" borderId="5" xfId="0" applyFont="1" applyFill="1" applyBorder="1" applyAlignment="1" applyProtection="1">
      <alignment horizontal="center" vertical="center"/>
    </xf>
    <xf numFmtId="0" fontId="17" fillId="5" borderId="12" xfId="0" applyFont="1" applyFill="1" applyBorder="1" applyAlignment="1" applyProtection="1">
      <alignment horizontal="center" vertical="center"/>
    </xf>
    <xf numFmtId="0" fontId="49" fillId="5" borderId="5" xfId="0" applyFont="1" applyFill="1" applyBorder="1" applyAlignment="1" applyProtection="1">
      <alignment vertical="center"/>
    </xf>
    <xf numFmtId="0" fontId="92" fillId="5" borderId="5" xfId="0" applyFont="1" applyFill="1" applyBorder="1" applyAlignment="1" applyProtection="1">
      <alignment vertical="center"/>
    </xf>
    <xf numFmtId="0" fontId="92" fillId="5" borderId="12" xfId="0" applyFont="1" applyFill="1" applyBorder="1" applyAlignment="1" applyProtection="1">
      <alignment vertical="center"/>
    </xf>
    <xf numFmtId="0" fontId="17" fillId="5" borderId="10" xfId="0" applyFont="1" applyFill="1" applyBorder="1" applyAlignment="1" applyProtection="1">
      <alignment vertical="center"/>
    </xf>
    <xf numFmtId="0" fontId="49" fillId="5" borderId="5" xfId="0" applyFont="1" applyFill="1" applyBorder="1" applyAlignment="1" applyProtection="1">
      <alignment horizontal="center" vertical="center"/>
    </xf>
    <xf numFmtId="44" fontId="90" fillId="8" borderId="47" xfId="0" applyNumberFormat="1" applyFont="1" applyFill="1" applyBorder="1" applyAlignment="1" applyProtection="1">
      <alignment horizontal="center" textRotation="90" wrapText="1"/>
    </xf>
    <xf numFmtId="44" fontId="90" fillId="8" borderId="46" xfId="0" applyNumberFormat="1" applyFont="1" applyFill="1" applyBorder="1" applyAlignment="1" applyProtection="1">
      <alignment horizontal="left" textRotation="90" wrapText="1"/>
    </xf>
    <xf numFmtId="1" fontId="57" fillId="8" borderId="48" xfId="0" applyNumberFormat="1" applyFont="1" applyFill="1" applyBorder="1" applyAlignment="1" applyProtection="1">
      <alignment horizontal="center" wrapText="1"/>
    </xf>
    <xf numFmtId="0" fontId="94" fillId="0" borderId="17" xfId="0" applyFont="1" applyBorder="1" applyAlignment="1" applyProtection="1">
      <alignment horizontal="center" vertical="center"/>
    </xf>
    <xf numFmtId="0" fontId="94" fillId="0" borderId="42" xfId="0" applyFont="1" applyBorder="1" applyAlignment="1" applyProtection="1">
      <alignment horizontal="center" vertical="center"/>
    </xf>
    <xf numFmtId="0" fontId="94" fillId="0" borderId="23" xfId="0" applyFont="1" applyBorder="1" applyAlignment="1" applyProtection="1">
      <alignment horizontal="center" vertical="center"/>
    </xf>
    <xf numFmtId="0" fontId="36" fillId="12" borderId="50" xfId="0" applyFont="1" applyFill="1" applyBorder="1" applyAlignment="1" applyProtection="1">
      <alignment horizontal="left"/>
      <protection locked="0"/>
    </xf>
    <xf numFmtId="0" fontId="36" fillId="12" borderId="50" xfId="0" applyFont="1" applyFill="1" applyBorder="1" applyProtection="1">
      <protection locked="0"/>
    </xf>
    <xf numFmtId="0" fontId="36" fillId="18" borderId="50" xfId="0" applyFont="1" applyFill="1" applyBorder="1" applyAlignment="1" applyProtection="1">
      <alignment horizontal="left"/>
      <protection locked="0"/>
    </xf>
    <xf numFmtId="172" fontId="96" fillId="0" borderId="50" xfId="0" applyNumberFormat="1" applyFont="1" applyBorder="1" applyAlignment="1" applyProtection="1">
      <alignment horizontal="left"/>
      <protection locked="0"/>
    </xf>
    <xf numFmtId="164" fontId="0" fillId="20" borderId="49" xfId="0" applyNumberFormat="1" applyFont="1" applyFill="1" applyBorder="1" applyAlignment="1" applyProtection="1">
      <alignment horizontal="left"/>
      <protection locked="0"/>
    </xf>
    <xf numFmtId="167" fontId="0" fillId="20" borderId="50" xfId="3" applyNumberFormat="1" applyFont="1" applyFill="1" applyBorder="1" applyAlignment="1" applyProtection="1">
      <alignment horizontal="center"/>
      <protection locked="0"/>
    </xf>
    <xf numFmtId="0" fontId="36" fillId="20" borderId="50" xfId="0" applyFont="1" applyFill="1" applyBorder="1" applyAlignment="1" applyProtection="1">
      <alignment horizontal="center"/>
      <protection locked="0"/>
    </xf>
    <xf numFmtId="0" fontId="97" fillId="0" borderId="50" xfId="4" applyFont="1" applyFill="1" applyBorder="1" applyProtection="1">
      <protection locked="0"/>
    </xf>
    <xf numFmtId="0" fontId="36" fillId="0" borderId="50" xfId="0" applyFont="1" applyBorder="1" applyAlignment="1" applyProtection="1">
      <alignment horizontal="center"/>
      <protection locked="0"/>
    </xf>
    <xf numFmtId="0" fontId="36" fillId="20" borderId="50" xfId="0" applyFont="1" applyFill="1" applyBorder="1" applyAlignment="1" applyProtection="1">
      <alignment horizontal="center" vertical="center"/>
      <protection locked="0"/>
    </xf>
    <xf numFmtId="0" fontId="36" fillId="20" borderId="51" xfId="0" applyFont="1" applyFill="1" applyBorder="1" applyAlignment="1" applyProtection="1">
      <alignment horizontal="center" vertical="center"/>
      <protection locked="0"/>
    </xf>
    <xf numFmtId="0" fontId="0" fillId="12" borderId="50" xfId="0" applyFont="1" applyFill="1" applyBorder="1" applyAlignment="1" applyProtection="1">
      <alignment horizontal="center"/>
      <protection locked="0"/>
    </xf>
    <xf numFmtId="0" fontId="0" fillId="12" borderId="51" xfId="0" applyFont="1" applyFill="1" applyBorder="1" applyAlignment="1" applyProtection="1">
      <alignment horizontal="center"/>
      <protection locked="0"/>
    </xf>
    <xf numFmtId="0" fontId="36" fillId="12" borderId="50" xfId="0" applyFont="1" applyFill="1" applyBorder="1" applyAlignment="1" applyProtection="1">
      <alignment horizontal="center"/>
      <protection locked="0"/>
    </xf>
    <xf numFmtId="14" fontId="36" fillId="12" borderId="50" xfId="0" applyNumberFormat="1" applyFont="1" applyFill="1" applyBorder="1" applyAlignment="1" applyProtection="1">
      <alignment horizontal="center"/>
      <protection locked="0"/>
    </xf>
    <xf numFmtId="37" fontId="36" fillId="12" borderId="51" xfId="3" applyNumberFormat="1" applyFont="1" applyFill="1" applyBorder="1" applyAlignment="1" applyProtection="1">
      <alignment horizontal="center"/>
      <protection locked="0"/>
    </xf>
    <xf numFmtId="0" fontId="46" fillId="11" borderId="0" xfId="0" applyFont="1" applyFill="1" applyAlignment="1" applyProtection="1">
      <alignment horizontal="left"/>
    </xf>
    <xf numFmtId="0" fontId="34" fillId="8" borderId="27" xfId="0" applyFont="1" applyFill="1" applyBorder="1" applyAlignment="1" applyProtection="1">
      <alignment vertical="center"/>
    </xf>
    <xf numFmtId="167" fontId="17" fillId="12" borderId="15" xfId="3" applyNumberFormat="1" applyFont="1" applyFill="1" applyBorder="1" applyAlignment="1" applyProtection="1">
      <alignment horizontal="center"/>
      <protection locked="0"/>
    </xf>
    <xf numFmtId="0" fontId="49" fillId="11" borderId="6" xfId="0" applyFont="1" applyFill="1" applyBorder="1" applyAlignment="1" applyProtection="1">
      <alignment horizontal="left" vertical="center"/>
    </xf>
    <xf numFmtId="0" fontId="99" fillId="11" borderId="25" xfId="0" applyFont="1" applyFill="1" applyBorder="1" applyAlignment="1" applyProtection="1">
      <alignment wrapText="1"/>
    </xf>
    <xf numFmtId="0" fontId="101" fillId="12" borderId="0" xfId="0" applyFont="1" applyFill="1" applyBorder="1" applyAlignment="1" applyProtection="1">
      <alignment horizontal="center" vertical="center" wrapText="1"/>
      <protection locked="0"/>
    </xf>
    <xf numFmtId="0" fontId="101" fillId="12" borderId="36"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28" xfId="0" applyFont="1" applyBorder="1" applyAlignment="1" applyProtection="1">
      <alignment horizontal="center" wrapText="1"/>
    </xf>
    <xf numFmtId="0" fontId="101" fillId="12" borderId="38" xfId="0" applyFont="1" applyFill="1" applyBorder="1" applyAlignment="1" applyProtection="1">
      <alignment horizontal="center" vertical="center" wrapText="1"/>
      <protection locked="0"/>
    </xf>
    <xf numFmtId="2" fontId="29" fillId="12" borderId="3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xf>
    <xf numFmtId="0" fontId="4" fillId="0" borderId="0" xfId="0" applyFont="1" applyBorder="1" applyAlignment="1" applyProtection="1">
      <alignment horizontal="right" vertical="center" wrapText="1"/>
    </xf>
    <xf numFmtId="0" fontId="4" fillId="0" borderId="36" xfId="0" applyFont="1" applyBorder="1" applyAlignment="1" applyProtection="1">
      <alignment horizontal="right" vertical="center" wrapText="1"/>
    </xf>
    <xf numFmtId="0" fontId="4" fillId="0" borderId="28" xfId="0" applyFont="1" applyBorder="1" applyAlignment="1" applyProtection="1">
      <alignment horizontal="right" wrapText="1"/>
    </xf>
    <xf numFmtId="0" fontId="4" fillId="0" borderId="38" xfId="0" applyFont="1" applyBorder="1" applyAlignment="1" applyProtection="1">
      <alignment horizontal="right" vertical="center" wrapText="1"/>
    </xf>
    <xf numFmtId="0" fontId="4" fillId="0" borderId="0" xfId="0" applyFont="1" applyBorder="1" applyAlignment="1" applyProtection="1">
      <alignment horizontal="right" vertical="center"/>
    </xf>
    <xf numFmtId="0" fontId="70" fillId="11" borderId="9" xfId="0" applyFont="1" applyFill="1" applyBorder="1" applyAlignment="1" applyProtection="1">
      <alignment horizontal="left" vertical="center" wrapText="1"/>
    </xf>
    <xf numFmtId="0" fontId="70" fillId="11" borderId="5" xfId="0" applyFont="1" applyFill="1" applyBorder="1" applyAlignment="1" applyProtection="1">
      <alignment horizontal="center" vertical="center" wrapText="1"/>
    </xf>
    <xf numFmtId="0" fontId="99" fillId="11" borderId="25" xfId="0" applyFont="1" applyFill="1" applyBorder="1" applyAlignment="1" applyProtection="1"/>
    <xf numFmtId="0" fontId="95" fillId="5" borderId="29" xfId="0" applyFont="1" applyFill="1" applyBorder="1" applyAlignment="1" applyProtection="1">
      <alignment vertical="center"/>
    </xf>
    <xf numFmtId="0" fontId="100" fillId="13" borderId="13" xfId="0" applyFont="1" applyFill="1" applyBorder="1" applyAlignment="1" applyProtection="1">
      <alignment vertical="center"/>
    </xf>
    <xf numFmtId="0" fontId="26" fillId="0" borderId="13" xfId="0" applyFont="1" applyBorder="1" applyProtection="1"/>
    <xf numFmtId="0" fontId="17" fillId="0" borderId="0" xfId="0" applyFont="1" applyBorder="1" applyAlignment="1" applyProtection="1">
      <alignment horizontal="right"/>
    </xf>
    <xf numFmtId="0" fontId="99" fillId="13" borderId="2" xfId="0" applyFont="1" applyFill="1" applyBorder="1" applyAlignment="1" applyProtection="1">
      <alignment horizontal="right"/>
    </xf>
    <xf numFmtId="164" fontId="35" fillId="2" borderId="32" xfId="1" applyNumberFormat="1" applyFont="1" applyFill="1" applyBorder="1" applyAlignment="1" applyProtection="1">
      <alignment horizontal="right"/>
    </xf>
    <xf numFmtId="0" fontId="100" fillId="11" borderId="13" xfId="0" applyFont="1" applyFill="1" applyBorder="1" applyAlignment="1" applyProtection="1">
      <alignment vertical="center"/>
    </xf>
    <xf numFmtId="0" fontId="35" fillId="0" borderId="13" xfId="0" applyFont="1" applyBorder="1" applyProtection="1"/>
    <xf numFmtId="0" fontId="35" fillId="0" borderId="13" xfId="0" applyFont="1" applyBorder="1" applyAlignment="1" applyProtection="1"/>
    <xf numFmtId="0" fontId="35" fillId="0" borderId="13" xfId="0" applyFont="1" applyBorder="1" applyAlignment="1" applyProtection="1">
      <alignment horizontal="left"/>
    </xf>
    <xf numFmtId="167" fontId="35" fillId="19" borderId="32" xfId="3" applyNumberFormat="1" applyFont="1" applyFill="1" applyBorder="1" applyAlignment="1" applyProtection="1">
      <alignment horizontal="right"/>
    </xf>
    <xf numFmtId="43" fontId="35" fillId="19" borderId="32" xfId="3" applyNumberFormat="1" applyFont="1" applyFill="1" applyBorder="1" applyAlignment="1" applyProtection="1">
      <alignment horizontal="right"/>
    </xf>
    <xf numFmtId="165" fontId="70" fillId="11" borderId="33" xfId="0" applyNumberFormat="1" applyFont="1" applyFill="1" applyBorder="1" applyAlignment="1" applyProtection="1">
      <alignment vertical="center"/>
    </xf>
    <xf numFmtId="164" fontId="95" fillId="5" borderId="33" xfId="1" applyNumberFormat="1" applyFont="1" applyFill="1" applyBorder="1" applyAlignment="1" applyProtection="1">
      <alignment horizontal="right" vertical="center"/>
    </xf>
    <xf numFmtId="0" fontId="0" fillId="0" borderId="6" xfId="0" applyBorder="1" applyProtection="1"/>
    <xf numFmtId="0" fontId="0" fillId="20" borderId="0" xfId="0" applyFill="1" applyBorder="1" applyAlignment="1" applyProtection="1">
      <alignment horizontal="center"/>
    </xf>
    <xf numFmtId="0" fontId="0" fillId="0" borderId="6" xfId="0" applyBorder="1" applyAlignment="1" applyProtection="1">
      <alignment horizontal="center"/>
    </xf>
    <xf numFmtId="0" fontId="56" fillId="0" borderId="0" xfId="0" applyFont="1" applyBorder="1" applyAlignment="1" applyProtection="1">
      <alignment horizontal="center" vertical="center"/>
    </xf>
    <xf numFmtId="0" fontId="56" fillId="20" borderId="0" xfId="0" applyFont="1" applyFill="1" applyBorder="1" applyAlignment="1" applyProtection="1">
      <alignment horizontal="center" vertical="center"/>
    </xf>
    <xf numFmtId="0" fontId="48" fillId="8" borderId="0" xfId="0" applyFont="1" applyFill="1" applyBorder="1" applyProtection="1"/>
    <xf numFmtId="44" fontId="46" fillId="11" borderId="73" xfId="0" applyNumberFormat="1" applyFont="1" applyFill="1" applyBorder="1" applyAlignment="1" applyProtection="1">
      <alignment horizontal="center" textRotation="90" wrapText="1"/>
    </xf>
    <xf numFmtId="1" fontId="36" fillId="20" borderId="76" xfId="0" applyNumberFormat="1" applyFont="1" applyFill="1" applyBorder="1" applyAlignment="1" applyProtection="1">
      <alignment horizontal="center"/>
      <protection locked="0"/>
    </xf>
    <xf numFmtId="0" fontId="54" fillId="0" borderId="10" xfId="0" applyFont="1" applyBorder="1" applyAlignment="1" applyProtection="1">
      <alignment horizontal="center" textRotation="90" wrapText="1"/>
    </xf>
    <xf numFmtId="0" fontId="90" fillId="8" borderId="0" xfId="0" applyFont="1" applyFill="1" applyBorder="1" applyAlignment="1" applyProtection="1">
      <alignment horizontal="left" textRotation="90" wrapText="1"/>
    </xf>
    <xf numFmtId="172" fontId="0" fillId="0" borderId="10" xfId="0" applyNumberFormat="1" applyFont="1" applyBorder="1" applyAlignment="1" applyProtection="1">
      <alignment horizontal="left"/>
      <protection locked="0"/>
    </xf>
    <xf numFmtId="172" fontId="25" fillId="8" borderId="75" xfId="0" applyNumberFormat="1" applyFont="1" applyFill="1" applyBorder="1" applyAlignment="1" applyProtection="1">
      <alignment horizontal="left"/>
    </xf>
    <xf numFmtId="172" fontId="44" fillId="8" borderId="10" xfId="0" applyNumberFormat="1" applyFont="1" applyFill="1" applyBorder="1" applyAlignment="1" applyProtection="1">
      <alignment horizontal="left"/>
    </xf>
    <xf numFmtId="0" fontId="46" fillId="11" borderId="70" xfId="0" applyFont="1" applyFill="1" applyBorder="1" applyAlignment="1" applyProtection="1">
      <alignment horizontal="center" textRotation="90" wrapText="1"/>
    </xf>
    <xf numFmtId="0" fontId="46" fillId="11" borderId="73" xfId="0" applyFont="1" applyFill="1" applyBorder="1" applyAlignment="1" applyProtection="1">
      <alignment horizontal="center" textRotation="90" wrapText="1"/>
    </xf>
    <xf numFmtId="0" fontId="29" fillId="12" borderId="76" xfId="0" applyFont="1" applyFill="1" applyBorder="1" applyAlignment="1" applyProtection="1">
      <alignment horizontal="center"/>
      <protection locked="0"/>
    </xf>
    <xf numFmtId="0" fontId="0" fillId="0" borderId="0" xfId="0" applyFont="1" applyBorder="1" applyProtection="1"/>
    <xf numFmtId="0" fontId="0" fillId="0" borderId="0" xfId="0" applyFont="1" applyBorder="1" applyProtection="1">
      <protection locked="0"/>
    </xf>
    <xf numFmtId="0" fontId="71" fillId="8" borderId="0" xfId="0" applyFont="1" applyFill="1" applyBorder="1" applyAlignment="1" applyProtection="1">
      <alignment horizontal="center"/>
    </xf>
    <xf numFmtId="0" fontId="17" fillId="0" borderId="10" xfId="0" applyFont="1" applyBorder="1" applyProtection="1"/>
    <xf numFmtId="0" fontId="17" fillId="0" borderId="10" xfId="0" applyFont="1" applyBorder="1" applyAlignment="1" applyProtection="1">
      <alignment vertical="center"/>
    </xf>
    <xf numFmtId="0" fontId="49" fillId="5" borderId="7" xfId="0" applyFont="1" applyFill="1" applyBorder="1" applyAlignment="1" applyProtection="1">
      <alignment horizontal="left"/>
    </xf>
    <xf numFmtId="0" fontId="49" fillId="5" borderId="6" xfId="0" applyFont="1" applyFill="1" applyBorder="1" applyAlignment="1" applyProtection="1">
      <alignment horizontal="center"/>
    </xf>
    <xf numFmtId="0" fontId="17" fillId="5" borderId="8" xfId="0" applyFont="1" applyFill="1" applyBorder="1" applyAlignment="1" applyProtection="1">
      <alignment horizontal="center"/>
    </xf>
    <xf numFmtId="0" fontId="17" fillId="5" borderId="11" xfId="0" applyFont="1" applyFill="1" applyBorder="1" applyAlignment="1" applyProtection="1">
      <alignment horizontal="center"/>
    </xf>
    <xf numFmtId="0" fontId="17" fillId="5" borderId="0" xfId="0" applyFont="1" applyFill="1" applyBorder="1" applyAlignment="1" applyProtection="1">
      <alignment horizontal="center"/>
    </xf>
    <xf numFmtId="0" fontId="17" fillId="5" borderId="9" xfId="0" applyFont="1" applyFill="1" applyBorder="1" applyAlignment="1" applyProtection="1">
      <alignment horizontal="center" vertical="center"/>
    </xf>
    <xf numFmtId="1" fontId="57" fillId="8" borderId="45" xfId="0" applyNumberFormat="1" applyFont="1" applyFill="1" applyBorder="1" applyAlignment="1" applyProtection="1">
      <alignment horizontal="center" wrapText="1"/>
    </xf>
    <xf numFmtId="0" fontId="36" fillId="20" borderId="76" xfId="0" applyFont="1" applyFill="1" applyBorder="1" applyAlignment="1" applyProtection="1">
      <alignment horizontal="center" vertical="center"/>
      <protection locked="0"/>
    </xf>
    <xf numFmtId="0" fontId="26" fillId="0" borderId="0" xfId="0" applyFont="1" applyBorder="1" applyAlignment="1" applyProtection="1">
      <alignment horizontal="center"/>
    </xf>
    <xf numFmtId="0" fontId="36" fillId="0" borderId="0" xfId="0" applyFont="1" applyBorder="1" applyAlignment="1" applyProtection="1">
      <alignment wrapText="1"/>
      <protection locked="0"/>
    </xf>
    <xf numFmtId="0" fontId="0" fillId="12" borderId="77" xfId="0" applyFont="1" applyFill="1" applyBorder="1" applyAlignment="1" applyProtection="1">
      <alignment horizontal="center"/>
      <protection locked="0"/>
    </xf>
    <xf numFmtId="0" fontId="0" fillId="12" borderId="78" xfId="0" applyFont="1" applyFill="1" applyBorder="1" applyAlignment="1" applyProtection="1">
      <alignment horizontal="center"/>
      <protection locked="0"/>
    </xf>
    <xf numFmtId="0" fontId="0" fillId="12" borderId="76" xfId="0" applyFont="1" applyFill="1" applyBorder="1" applyAlignment="1" applyProtection="1">
      <alignment horizontal="center"/>
      <protection locked="0"/>
    </xf>
    <xf numFmtId="0" fontId="94" fillId="0" borderId="0" xfId="0" applyFont="1" applyBorder="1" applyAlignment="1" applyProtection="1">
      <alignment horizontal="center" vertical="center"/>
    </xf>
    <xf numFmtId="0" fontId="57" fillId="0" borderId="0" xfId="0" applyFont="1" applyBorder="1" applyAlignment="1" applyProtection="1">
      <alignment wrapText="1"/>
    </xf>
    <xf numFmtId="165" fontId="46" fillId="11" borderId="0" xfId="0" applyNumberFormat="1" applyFont="1" applyFill="1" applyBorder="1" applyAlignment="1" applyProtection="1">
      <alignment horizontal="center"/>
      <protection locked="0"/>
    </xf>
    <xf numFmtId="1" fontId="46" fillId="11" borderId="0" xfId="0" applyNumberFormat="1" applyFont="1" applyFill="1" applyBorder="1" applyAlignment="1" applyProtection="1">
      <alignment horizontal="center"/>
      <protection locked="0"/>
    </xf>
    <xf numFmtId="0" fontId="4" fillId="0" borderId="0" xfId="0" applyFont="1" applyBorder="1" applyProtection="1">
      <protection locked="0"/>
    </xf>
    <xf numFmtId="0" fontId="4" fillId="0" borderId="0" xfId="0" applyFont="1" applyBorder="1" applyProtection="1"/>
    <xf numFmtId="0" fontId="71" fillId="11" borderId="79" xfId="0" applyFont="1" applyFill="1" applyBorder="1" applyAlignment="1" applyProtection="1">
      <alignment horizontal="left"/>
    </xf>
    <xf numFmtId="0" fontId="41" fillId="11" borderId="74" xfId="0" applyFont="1" applyFill="1" applyBorder="1" applyAlignment="1" applyProtection="1">
      <alignment horizontal="left"/>
    </xf>
    <xf numFmtId="0" fontId="45" fillId="11" borderId="74" xfId="0" applyFont="1" applyFill="1" applyBorder="1" applyProtection="1"/>
    <xf numFmtId="0" fontId="71" fillId="11" borderId="74" xfId="0" applyFont="1" applyFill="1" applyBorder="1" applyAlignment="1" applyProtection="1">
      <alignment horizontal="left"/>
    </xf>
    <xf numFmtId="14" fontId="41" fillId="11" borderId="74" xfId="0" applyNumberFormat="1" applyFont="1" applyFill="1" applyBorder="1" applyAlignment="1" applyProtection="1">
      <alignment horizontal="left"/>
    </xf>
    <xf numFmtId="172" fontId="58" fillId="11" borderId="74" xfId="0" applyNumberFormat="1" applyFont="1" applyFill="1" applyBorder="1" applyAlignment="1" applyProtection="1">
      <alignment horizontal="left"/>
    </xf>
    <xf numFmtId="167" fontId="41" fillId="11" borderId="80" xfId="3" applyNumberFormat="1" applyFont="1" applyFill="1" applyBorder="1" applyAlignment="1" applyProtection="1">
      <alignment horizontal="center"/>
    </xf>
    <xf numFmtId="164" fontId="25" fillId="11" borderId="74" xfId="0" applyNumberFormat="1" applyFont="1" applyFill="1" applyBorder="1" applyAlignment="1" applyProtection="1">
      <alignment horizontal="left"/>
    </xf>
    <xf numFmtId="167" fontId="25" fillId="11" borderId="74" xfId="3" applyNumberFormat="1" applyFont="1" applyFill="1" applyBorder="1" applyAlignment="1" applyProtection="1">
      <alignment horizontal="center"/>
    </xf>
    <xf numFmtId="0" fontId="45" fillId="11" borderId="79" xfId="0" applyFont="1" applyFill="1" applyBorder="1" applyAlignment="1" applyProtection="1">
      <alignment horizontal="center"/>
    </xf>
    <xf numFmtId="0" fontId="45" fillId="11" borderId="74" xfId="0" applyFont="1" applyFill="1" applyBorder="1" applyAlignment="1" applyProtection="1">
      <alignment horizontal="center"/>
    </xf>
    <xf numFmtId="0" fontId="59" fillId="11" borderId="74" xfId="4" applyFont="1" applyFill="1" applyBorder="1" applyProtection="1"/>
    <xf numFmtId="0" fontId="52" fillId="11" borderId="74" xfId="0" applyFont="1" applyFill="1" applyBorder="1" applyAlignment="1" applyProtection="1">
      <alignment horizontal="center"/>
    </xf>
    <xf numFmtId="37" fontId="41" fillId="11" borderId="80" xfId="3" applyNumberFormat="1" applyFont="1" applyFill="1" applyBorder="1" applyAlignment="1" applyProtection="1">
      <alignment horizontal="center"/>
    </xf>
    <xf numFmtId="0" fontId="45" fillId="11" borderId="79" xfId="0" applyFont="1" applyFill="1" applyBorder="1" applyAlignment="1" applyProtection="1">
      <alignment horizontal="center" vertical="center"/>
    </xf>
    <xf numFmtId="0" fontId="45" fillId="11" borderId="74" xfId="0" applyFont="1" applyFill="1" applyBorder="1" applyAlignment="1" applyProtection="1">
      <alignment horizontal="center" vertical="center"/>
    </xf>
    <xf numFmtId="0" fontId="45" fillId="11" borderId="80" xfId="0" applyFont="1" applyFill="1" applyBorder="1" applyAlignment="1" applyProtection="1">
      <alignment horizontal="center" vertical="center"/>
    </xf>
    <xf numFmtId="0" fontId="4" fillId="11" borderId="74" xfId="0" applyFont="1" applyFill="1" applyBorder="1" applyAlignment="1" applyProtection="1">
      <alignment horizontal="center"/>
    </xf>
    <xf numFmtId="0" fontId="4" fillId="11" borderId="79" xfId="0" applyFont="1" applyFill="1" applyBorder="1" applyAlignment="1" applyProtection="1">
      <alignment horizontal="center"/>
    </xf>
    <xf numFmtId="0" fontId="71" fillId="11" borderId="74" xfId="0" applyFont="1" applyFill="1" applyBorder="1" applyAlignment="1" applyProtection="1">
      <alignment horizontal="center"/>
    </xf>
    <xf numFmtId="0" fontId="4" fillId="11" borderId="80" xfId="0" applyFont="1" applyFill="1" applyBorder="1" applyAlignment="1" applyProtection="1">
      <alignment horizontal="center"/>
    </xf>
    <xf numFmtId="165" fontId="29" fillId="11" borderId="74" xfId="0" applyNumberFormat="1" applyFont="1" applyFill="1" applyBorder="1" applyAlignment="1" applyProtection="1">
      <alignment horizontal="center"/>
    </xf>
    <xf numFmtId="2" fontId="49" fillId="11" borderId="74" xfId="0" applyNumberFormat="1" applyFont="1" applyFill="1" applyBorder="1" applyAlignment="1" applyProtection="1">
      <alignment horizontal="center"/>
    </xf>
    <xf numFmtId="164" fontId="0" fillId="20" borderId="0" xfId="0" applyNumberFormat="1" applyFont="1" applyFill="1" applyBorder="1" applyAlignment="1" applyProtection="1">
      <alignment horizontal="left"/>
      <protection locked="0"/>
    </xf>
    <xf numFmtId="167" fontId="0" fillId="20" borderId="0" xfId="3" applyNumberFormat="1" applyFont="1" applyFill="1" applyBorder="1" applyAlignment="1" applyProtection="1">
      <alignment horizontal="center"/>
      <protection locked="0"/>
    </xf>
    <xf numFmtId="0" fontId="36" fillId="20" borderId="0" xfId="0" applyFont="1" applyFill="1" applyBorder="1" applyAlignment="1" applyProtection="1">
      <alignment horizontal="center"/>
      <protection locked="0"/>
    </xf>
    <xf numFmtId="0" fontId="97" fillId="0" borderId="0" xfId="4" applyFont="1" applyFill="1" applyBorder="1" applyProtection="1">
      <protection locked="0"/>
    </xf>
    <xf numFmtId="0" fontId="36" fillId="0" borderId="0" xfId="0" applyFont="1" applyBorder="1" applyAlignment="1" applyProtection="1">
      <alignment horizontal="center"/>
      <protection locked="0"/>
    </xf>
    <xf numFmtId="0" fontId="36" fillId="20" borderId="0" xfId="0" applyFont="1" applyFill="1" applyBorder="1" applyAlignment="1" applyProtection="1">
      <alignment horizontal="center" vertical="center"/>
      <protection locked="0"/>
    </xf>
    <xf numFmtId="0" fontId="98"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37" fontId="36" fillId="12" borderId="10" xfId="3" applyNumberFormat="1" applyFont="1" applyFill="1" applyBorder="1" applyAlignment="1" applyProtection="1">
      <alignment horizontal="center"/>
      <protection locked="0"/>
    </xf>
    <xf numFmtId="1" fontId="36" fillId="20" borderId="11" xfId="0" applyNumberFormat="1" applyFont="1" applyFill="1" applyBorder="1" applyAlignment="1" applyProtection="1">
      <alignment horizontal="center"/>
      <protection locked="0"/>
    </xf>
    <xf numFmtId="0" fontId="36" fillId="20" borderId="11" xfId="0" applyFont="1" applyFill="1" applyBorder="1" applyAlignment="1" applyProtection="1">
      <alignment horizontal="center" vertical="center"/>
      <protection locked="0"/>
    </xf>
    <xf numFmtId="0" fontId="36" fillId="20" borderId="10" xfId="0" applyFont="1" applyFill="1" applyBorder="1" applyAlignment="1" applyProtection="1">
      <alignment horizontal="center" vertical="center"/>
      <protection locked="0"/>
    </xf>
    <xf numFmtId="0" fontId="56" fillId="8" borderId="0" xfId="0" applyFont="1" applyFill="1" applyBorder="1" applyAlignment="1" applyProtection="1">
      <alignment horizontal="center" vertical="center"/>
    </xf>
    <xf numFmtId="0" fontId="64" fillId="8" borderId="0" xfId="0" applyFont="1" applyFill="1" applyBorder="1" applyAlignment="1" applyProtection="1">
      <alignment horizontal="center" vertical="center"/>
    </xf>
    <xf numFmtId="0" fontId="63" fillId="8" borderId="0" xfId="0" applyFont="1" applyFill="1" applyBorder="1" applyAlignment="1" applyProtection="1">
      <alignment wrapText="1"/>
    </xf>
    <xf numFmtId="0" fontId="89" fillId="11" borderId="70" xfId="0" applyFont="1" applyFill="1" applyBorder="1" applyAlignment="1" applyProtection="1">
      <alignment horizontal="center" textRotation="90" wrapText="1"/>
    </xf>
    <xf numFmtId="0" fontId="89" fillId="11" borderId="73" xfId="0" applyFont="1" applyFill="1" applyBorder="1" applyAlignment="1" applyProtection="1">
      <alignment horizontal="center" textRotation="90" wrapText="1"/>
    </xf>
    <xf numFmtId="0" fontId="89" fillId="11" borderId="71" xfId="0" applyFont="1" applyFill="1" applyBorder="1" applyAlignment="1" applyProtection="1">
      <alignment horizontal="center" textRotation="90" wrapText="1"/>
    </xf>
    <xf numFmtId="0" fontId="53" fillId="0" borderId="0" xfId="0" applyFont="1" applyBorder="1" applyAlignment="1" applyProtection="1">
      <alignment horizontal="center" textRotation="90" wrapText="1"/>
    </xf>
    <xf numFmtId="0" fontId="65" fillId="0" borderId="0" xfId="0" applyFont="1" applyBorder="1" applyAlignment="1" applyProtection="1">
      <alignment horizontal="center" textRotation="90" wrapText="1"/>
    </xf>
    <xf numFmtId="0" fontId="48" fillId="8" borderId="0" xfId="0" applyFont="1" applyFill="1" applyBorder="1" applyAlignment="1" applyProtection="1">
      <alignment vertical="center"/>
    </xf>
    <xf numFmtId="0" fontId="0" fillId="0" borderId="0" xfId="0" applyFont="1" applyBorder="1" applyAlignment="1" applyProtection="1">
      <alignment vertical="center"/>
    </xf>
    <xf numFmtId="0" fontId="0" fillId="8" borderId="0" xfId="0" applyFill="1" applyBorder="1" applyAlignment="1" applyProtection="1">
      <alignment vertical="center"/>
    </xf>
    <xf numFmtId="0" fontId="46" fillId="11" borderId="42" xfId="0" applyFont="1" applyFill="1" applyBorder="1" applyAlignment="1" applyProtection="1">
      <alignment horizontal="center" textRotation="90" wrapText="1"/>
    </xf>
    <xf numFmtId="0" fontId="46" fillId="11" borderId="23" xfId="0" applyFont="1" applyFill="1" applyBorder="1" applyAlignment="1" applyProtection="1">
      <alignment horizontal="center" textRotation="90" wrapText="1"/>
    </xf>
    <xf numFmtId="0" fontId="49" fillId="5" borderId="43" xfId="0" applyFont="1" applyFill="1" applyBorder="1" applyAlignment="1" applyProtection="1">
      <alignment horizontal="center" textRotation="90" wrapText="1"/>
    </xf>
    <xf numFmtId="0" fontId="46" fillId="11" borderId="11" xfId="0" applyFont="1" applyFill="1" applyBorder="1" applyAlignment="1" applyProtection="1">
      <alignment horizontal="center" wrapText="1"/>
    </xf>
    <xf numFmtId="0" fontId="46" fillId="11" borderId="0" xfId="0" applyFont="1" applyFill="1" applyBorder="1" applyAlignment="1" applyProtection="1">
      <alignment horizontal="center" wrapText="1"/>
    </xf>
    <xf numFmtId="2" fontId="49" fillId="11" borderId="0" xfId="0" applyNumberFormat="1" applyFont="1" applyFill="1" applyBorder="1" applyAlignment="1" applyProtection="1">
      <alignment horizontal="center" wrapText="1"/>
    </xf>
    <xf numFmtId="0" fontId="49" fillId="5" borderId="10" xfId="0" applyFont="1" applyFill="1" applyBorder="1" applyAlignment="1" applyProtection="1">
      <alignment horizontal="center" wrapText="1"/>
    </xf>
    <xf numFmtId="0" fontId="46" fillId="11" borderId="11" xfId="0" applyFont="1" applyFill="1" applyBorder="1" applyAlignment="1" applyProtection="1">
      <alignment horizontal="center"/>
      <protection locked="0"/>
    </xf>
    <xf numFmtId="164" fontId="46" fillId="5" borderId="10" xfId="1" applyNumberFormat="1" applyFont="1" applyFill="1" applyBorder="1" applyAlignment="1" applyProtection="1">
      <alignment horizontal="center"/>
      <protection locked="0"/>
    </xf>
    <xf numFmtId="0" fontId="29" fillId="11" borderId="79" xfId="0" applyFont="1" applyFill="1" applyBorder="1" applyAlignment="1" applyProtection="1">
      <alignment horizontal="center"/>
    </xf>
    <xf numFmtId="172" fontId="0" fillId="0" borderId="81" xfId="0" applyNumberFormat="1" applyFont="1" applyBorder="1" applyAlignment="1" applyProtection="1">
      <alignment horizontal="left"/>
      <protection locked="0"/>
    </xf>
    <xf numFmtId="0" fontId="0" fillId="0" borderId="83" xfId="0" applyFont="1" applyBorder="1" applyProtection="1">
      <protection locked="0"/>
    </xf>
    <xf numFmtId="0" fontId="98" fillId="0" borderId="85" xfId="0" applyFont="1" applyBorder="1" applyAlignment="1" applyProtection="1">
      <alignment horizontal="center" vertical="center"/>
      <protection locked="0"/>
    </xf>
    <xf numFmtId="0" fontId="57" fillId="0" borderId="84" xfId="0" applyFont="1" applyBorder="1" applyAlignment="1" applyProtection="1">
      <alignment wrapText="1"/>
    </xf>
    <xf numFmtId="0" fontId="36" fillId="0" borderId="83" xfId="0" applyFont="1" applyBorder="1" applyAlignment="1" applyProtection="1">
      <alignment wrapText="1"/>
      <protection locked="0"/>
    </xf>
    <xf numFmtId="0" fontId="36" fillId="0" borderId="85" xfId="0" applyFont="1" applyBorder="1" applyAlignment="1" applyProtection="1">
      <alignment wrapText="1"/>
      <protection locked="0"/>
    </xf>
    <xf numFmtId="0" fontId="52" fillId="8" borderId="83" xfId="0" applyFont="1" applyFill="1" applyBorder="1" applyAlignment="1" applyProtection="1">
      <alignment wrapText="1"/>
    </xf>
    <xf numFmtId="0" fontId="0" fillId="0" borderId="82" xfId="0" applyFont="1" applyBorder="1" applyAlignment="1" applyProtection="1">
      <alignment vertical="center"/>
      <protection locked="0"/>
    </xf>
    <xf numFmtId="0" fontId="0" fillId="0" borderId="81" xfId="0" applyFont="1" applyBorder="1" applyAlignment="1" applyProtection="1">
      <alignment vertical="center"/>
      <protection locked="0"/>
    </xf>
    <xf numFmtId="0" fontId="46" fillId="11" borderId="69" xfId="0" applyFont="1" applyFill="1" applyBorder="1" applyAlignment="1" applyProtection="1">
      <alignment horizontal="center"/>
      <protection locked="0"/>
    </xf>
    <xf numFmtId="165" fontId="46" fillId="11" borderId="69" xfId="0" applyNumberFormat="1" applyFont="1" applyFill="1" applyBorder="1" applyAlignment="1" applyProtection="1">
      <alignment horizontal="center"/>
      <protection locked="0"/>
    </xf>
    <xf numFmtId="1" fontId="46" fillId="11" borderId="69" xfId="0" applyNumberFormat="1" applyFont="1" applyFill="1" applyBorder="1" applyAlignment="1" applyProtection="1">
      <alignment horizontal="center"/>
      <protection locked="0"/>
    </xf>
    <xf numFmtId="5" fontId="46" fillId="5" borderId="10" xfId="1" applyNumberFormat="1" applyFont="1" applyFill="1" applyBorder="1" applyAlignment="1" applyProtection="1">
      <alignment horizontal="center"/>
      <protection locked="0"/>
    </xf>
    <xf numFmtId="5" fontId="49" fillId="5" borderId="80" xfId="1" applyNumberFormat="1" applyFont="1" applyFill="1" applyBorder="1" applyAlignment="1" applyProtection="1">
      <alignment horizontal="center"/>
    </xf>
    <xf numFmtId="0" fontId="90" fillId="8" borderId="46" xfId="0" applyFont="1" applyFill="1" applyBorder="1" applyAlignment="1" applyProtection="1">
      <alignment horizontal="left" textRotation="90" wrapText="1"/>
    </xf>
    <xf numFmtId="0" fontId="51" fillId="0" borderId="42" xfId="0" applyFont="1" applyBorder="1" applyAlignment="1" applyProtection="1">
      <alignment horizontal="center" textRotation="90" wrapText="1"/>
    </xf>
    <xf numFmtId="44" fontId="90" fillId="8" borderId="23" xfId="0" applyNumberFormat="1" applyFont="1" applyFill="1" applyBorder="1" applyAlignment="1" applyProtection="1">
      <alignment horizontal="center" textRotation="90" wrapText="1"/>
    </xf>
    <xf numFmtId="0" fontId="90" fillId="8" borderId="5" xfId="0" applyFont="1" applyFill="1" applyBorder="1" applyAlignment="1" applyProtection="1">
      <alignment horizontal="left" textRotation="90" wrapText="1"/>
    </xf>
    <xf numFmtId="0" fontId="90" fillId="8" borderId="23" xfId="0" applyFont="1" applyFill="1" applyBorder="1" applyAlignment="1" applyProtection="1">
      <alignment horizontal="left" textRotation="90" wrapText="1"/>
    </xf>
    <xf numFmtId="0" fontId="93" fillId="8" borderId="72" xfId="0" applyFont="1" applyFill="1" applyBorder="1" applyAlignment="1" applyProtection="1">
      <alignment horizontal="left" textRotation="90" wrapText="1"/>
    </xf>
    <xf numFmtId="0" fontId="90" fillId="8" borderId="43" xfId="0" applyFont="1" applyFill="1" applyBorder="1" applyAlignment="1" applyProtection="1">
      <alignment horizontal="left" textRotation="90" wrapText="1"/>
    </xf>
    <xf numFmtId="0" fontId="90" fillId="8" borderId="9" xfId="0" applyFont="1" applyFill="1" applyBorder="1" applyAlignment="1" applyProtection="1">
      <alignment horizontal="left" textRotation="90" wrapText="1"/>
    </xf>
    <xf numFmtId="0" fontId="55" fillId="8" borderId="46" xfId="0" applyFont="1" applyFill="1" applyBorder="1" applyAlignment="1" applyProtection="1">
      <alignment wrapText="1"/>
    </xf>
    <xf numFmtId="44" fontId="91" fillId="8" borderId="23" xfId="0" applyNumberFormat="1" applyFont="1" applyFill="1" applyBorder="1" applyAlignment="1" applyProtection="1">
      <alignment horizontal="center" textRotation="90" wrapText="1"/>
    </xf>
    <xf numFmtId="0" fontId="52" fillId="8" borderId="72" xfId="0" applyFont="1" applyFill="1" applyBorder="1" applyAlignment="1" applyProtection="1">
      <alignment horizontal="center" textRotation="90" wrapText="1"/>
    </xf>
    <xf numFmtId="0" fontId="29" fillId="12" borderId="86" xfId="0" applyFont="1" applyFill="1" applyBorder="1" applyAlignment="1" applyProtection="1">
      <alignment horizontal="center"/>
      <protection locked="0"/>
    </xf>
    <xf numFmtId="0" fontId="102" fillId="8" borderId="27" xfId="0" applyFont="1" applyFill="1" applyBorder="1" applyAlignment="1" applyProtection="1">
      <alignment vertical="center"/>
    </xf>
    <xf numFmtId="3" fontId="34" fillId="8" borderId="0" xfId="0" applyNumberFormat="1" applyFont="1" applyFill="1" applyAlignment="1" applyProtection="1">
      <alignment horizontal="right" vertical="center"/>
    </xf>
    <xf numFmtId="3" fontId="34" fillId="8" borderId="0" xfId="0" applyNumberFormat="1" applyFont="1" applyFill="1" applyAlignment="1">
      <alignment horizontal="right" vertical="center"/>
    </xf>
    <xf numFmtId="0" fontId="70" fillId="5" borderId="87" xfId="0" applyFont="1" applyFill="1" applyBorder="1" applyAlignment="1" applyProtection="1">
      <alignment horizontal="center"/>
    </xf>
    <xf numFmtId="0" fontId="36" fillId="12" borderId="0" xfId="0" applyFont="1" applyFill="1" applyAlignment="1" applyProtection="1">
      <alignment horizontal="left"/>
      <protection locked="0"/>
    </xf>
    <xf numFmtId="0" fontId="36" fillId="12" borderId="0" xfId="0" applyFont="1" applyFill="1" applyProtection="1">
      <protection locked="0"/>
    </xf>
    <xf numFmtId="49" fontId="36" fillId="12" borderId="0" xfId="0" applyNumberFormat="1" applyFont="1" applyFill="1" applyAlignment="1" applyProtection="1">
      <alignment horizontal="center"/>
      <protection locked="0"/>
    </xf>
    <xf numFmtId="14" fontId="36" fillId="12" borderId="0" xfId="0" applyNumberFormat="1" applyFont="1" applyFill="1" applyAlignment="1" applyProtection="1">
      <alignment horizontal="center"/>
      <protection locked="0"/>
    </xf>
    <xf numFmtId="0" fontId="36" fillId="18" borderId="0" xfId="0" applyFont="1" applyFill="1" applyAlignment="1" applyProtection="1">
      <alignment horizontal="left"/>
      <protection locked="0"/>
    </xf>
    <xf numFmtId="172" fontId="96" fillId="0" borderId="0" xfId="0" applyNumberFormat="1" applyFont="1" applyAlignment="1" applyProtection="1">
      <alignment horizontal="left"/>
      <protection locked="0"/>
    </xf>
    <xf numFmtId="0" fontId="0" fillId="12" borderId="11" xfId="0" applyFill="1" applyBorder="1" applyAlignment="1" applyProtection="1">
      <alignment horizontal="center"/>
      <protection locked="0"/>
    </xf>
    <xf numFmtId="0" fontId="0" fillId="12" borderId="0" xfId="0" applyFill="1" applyAlignment="1" applyProtection="1">
      <alignment horizontal="center"/>
      <protection locked="0"/>
    </xf>
    <xf numFmtId="0" fontId="0" fillId="12" borderId="10" xfId="0" applyFill="1" applyBorder="1" applyAlignment="1" applyProtection="1">
      <alignment horizontal="center"/>
      <protection locked="0"/>
    </xf>
    <xf numFmtId="0" fontId="0" fillId="8" borderId="16" xfId="0" applyFill="1" applyBorder="1" applyAlignment="1">
      <alignment horizontal="center"/>
    </xf>
    <xf numFmtId="0" fontId="0" fillId="8" borderId="26" xfId="0" applyFill="1" applyBorder="1"/>
    <xf numFmtId="0" fontId="0" fillId="8" borderId="26" xfId="0" applyFill="1" applyBorder="1" applyAlignment="1">
      <alignment horizontal="center"/>
    </xf>
    <xf numFmtId="3" fontId="34" fillId="8" borderId="26" xfId="0" applyNumberFormat="1" applyFont="1" applyFill="1" applyBorder="1" applyAlignment="1">
      <alignment vertical="center" wrapText="1"/>
    </xf>
    <xf numFmtId="3" fontId="34" fillId="8" borderId="26" xfId="0" applyNumberFormat="1" applyFont="1" applyFill="1" applyBorder="1" applyAlignment="1">
      <alignment horizontal="center" vertical="center" wrapText="1"/>
    </xf>
    <xf numFmtId="3" fontId="34" fillId="8" borderId="0" xfId="0" applyNumberFormat="1" applyFont="1" applyFill="1" applyAlignment="1">
      <alignment vertical="center" wrapText="1"/>
    </xf>
    <xf numFmtId="3" fontId="34" fillId="8" borderId="0" xfId="0" applyNumberFormat="1" applyFont="1" applyFill="1" applyAlignment="1">
      <alignment horizontal="center" vertical="center" wrapText="1"/>
    </xf>
    <xf numFmtId="3" fontId="34" fillId="8" borderId="16" xfId="0" applyNumberFormat="1" applyFont="1" applyFill="1" applyBorder="1" applyAlignment="1">
      <alignment vertical="center" wrapText="1"/>
    </xf>
    <xf numFmtId="3" fontId="34" fillId="8" borderId="16" xfId="0" applyNumberFormat="1" applyFont="1" applyFill="1" applyBorder="1" applyAlignment="1">
      <alignment horizontal="center" vertical="center" wrapText="1"/>
    </xf>
    <xf numFmtId="1" fontId="35" fillId="8" borderId="0" xfId="0" applyNumberFormat="1" applyFont="1" applyFill="1" applyAlignment="1">
      <alignment horizontal="center" vertical="center"/>
    </xf>
    <xf numFmtId="0" fontId="70" fillId="5" borderId="42" xfId="0" applyFont="1" applyFill="1" applyBorder="1"/>
    <xf numFmtId="0" fontId="70" fillId="5" borderId="23" xfId="0" applyFont="1" applyFill="1" applyBorder="1" applyAlignment="1">
      <alignment horizontal="center"/>
    </xf>
    <xf numFmtId="0" fontId="70" fillId="5" borderId="23" xfId="0" applyFont="1" applyFill="1" applyBorder="1"/>
    <xf numFmtId="0" fontId="70" fillId="5" borderId="43" xfId="0" applyFont="1" applyFill="1" applyBorder="1"/>
    <xf numFmtId="3" fontId="70" fillId="5" borderId="42" xfId="0" applyNumberFormat="1" applyFont="1" applyFill="1" applyBorder="1" applyAlignment="1">
      <alignment vertical="center"/>
    </xf>
    <xf numFmtId="3" fontId="70" fillId="5" borderId="23" xfId="0" applyNumberFormat="1" applyFont="1" applyFill="1" applyBorder="1" applyAlignment="1">
      <alignment vertical="center"/>
    </xf>
    <xf numFmtId="3" fontId="70" fillId="5" borderId="23" xfId="0" applyNumberFormat="1" applyFont="1" applyFill="1" applyBorder="1" applyAlignment="1">
      <alignment horizontal="center" vertical="center"/>
    </xf>
    <xf numFmtId="3" fontId="70" fillId="5" borderId="43" xfId="0" applyNumberFormat="1" applyFont="1" applyFill="1" applyBorder="1" applyAlignment="1">
      <alignment vertical="center"/>
    </xf>
    <xf numFmtId="3" fontId="35" fillId="8" borderId="52" xfId="0" applyNumberFormat="1" applyFont="1" applyFill="1" applyBorder="1" applyAlignment="1">
      <alignment horizontal="center" vertical="center"/>
    </xf>
    <xf numFmtId="0" fontId="35" fillId="8" borderId="0" xfId="0" applyFont="1" applyFill="1" applyAlignment="1">
      <alignment horizontal="center"/>
    </xf>
    <xf numFmtId="0" fontId="70" fillId="5" borderId="23" xfId="0" applyFont="1" applyFill="1" applyBorder="1" applyAlignment="1">
      <alignment horizontal="left"/>
    </xf>
    <xf numFmtId="0" fontId="0" fillId="8" borderId="0" xfId="0" applyFill="1" applyAlignment="1">
      <alignment horizontal="center" vertical="center" textRotation="90"/>
    </xf>
    <xf numFmtId="0" fontId="46" fillId="11" borderId="7" xfId="0" applyFont="1" applyFill="1" applyBorder="1" applyAlignment="1">
      <alignment vertical="center"/>
    </xf>
    <xf numFmtId="0" fontId="46" fillId="11" borderId="8" xfId="0" applyFont="1" applyFill="1" applyBorder="1" applyAlignment="1">
      <alignment horizontal="right" vertical="center"/>
    </xf>
    <xf numFmtId="3" fontId="46" fillId="8" borderId="0" xfId="0" applyNumberFormat="1" applyFont="1" applyFill="1" applyAlignment="1">
      <alignment horizontal="center" vertical="center" textRotation="90"/>
    </xf>
    <xf numFmtId="171" fontId="46" fillId="11" borderId="59" xfId="0" applyNumberFormat="1" applyFont="1" applyFill="1" applyBorder="1" applyAlignment="1">
      <alignment horizontal="center"/>
    </xf>
    <xf numFmtId="171" fontId="46" fillId="11" borderId="61" xfId="0" applyNumberFormat="1" applyFont="1" applyFill="1" applyBorder="1" applyAlignment="1">
      <alignment horizontal="center"/>
    </xf>
    <xf numFmtId="171" fontId="46" fillId="11" borderId="60" xfId="0" applyNumberFormat="1" applyFont="1" applyFill="1" applyBorder="1" applyAlignment="1">
      <alignment horizontal="center"/>
    </xf>
    <xf numFmtId="171" fontId="46" fillId="8" borderId="0" xfId="0" applyNumberFormat="1" applyFont="1" applyFill="1" applyAlignment="1">
      <alignment horizontal="center" vertical="center" textRotation="90"/>
    </xf>
    <xf numFmtId="171" fontId="46" fillId="11" borderId="62" xfId="0" applyNumberFormat="1" applyFont="1" applyFill="1" applyBorder="1" applyAlignment="1">
      <alignment horizontal="center"/>
    </xf>
    <xf numFmtId="173" fontId="46" fillId="11" borderId="61" xfId="0" applyNumberFormat="1" applyFont="1" applyFill="1" applyBorder="1" applyAlignment="1">
      <alignment horizontal="center" vertical="center"/>
    </xf>
    <xf numFmtId="173" fontId="46" fillId="11" borderId="60" xfId="0" applyNumberFormat="1" applyFont="1" applyFill="1" applyBorder="1" applyAlignment="1">
      <alignment horizontal="center"/>
    </xf>
    <xf numFmtId="0" fontId="46" fillId="8" borderId="0" xfId="0" applyFont="1" applyFill="1" applyAlignment="1">
      <alignment horizontal="center" vertical="center" textRotation="90"/>
    </xf>
    <xf numFmtId="0" fontId="46" fillId="11" borderId="59" xfId="0" applyFont="1" applyFill="1" applyBorder="1" applyAlignment="1">
      <alignment horizontal="center" vertical="center"/>
    </xf>
    <xf numFmtId="9" fontId="46" fillId="11" borderId="61" xfId="0" applyNumberFormat="1" applyFont="1" applyFill="1" applyBorder="1" applyAlignment="1">
      <alignment vertical="center" wrapText="1"/>
    </xf>
    <xf numFmtId="9" fontId="46" fillId="11" borderId="60" xfId="0" applyNumberFormat="1" applyFont="1" applyFill="1" applyBorder="1" applyAlignment="1">
      <alignment vertical="center" wrapText="1"/>
    </xf>
    <xf numFmtId="0" fontId="46" fillId="8" borderId="0" xfId="0" applyFont="1" applyFill="1" applyAlignment="1">
      <alignment horizontal="center" vertical="center" textRotation="90" wrapText="1"/>
    </xf>
    <xf numFmtId="171" fontId="46" fillId="11" borderId="7" xfId="0" applyNumberFormat="1" applyFont="1" applyFill="1" applyBorder="1" applyAlignment="1">
      <alignment horizontal="center" vertical="center" textRotation="90" wrapText="1"/>
    </xf>
    <xf numFmtId="171" fontId="46" fillId="11" borderId="6" xfId="0" applyNumberFormat="1" applyFont="1" applyFill="1" applyBorder="1" applyAlignment="1">
      <alignment horizontal="center" vertical="center" textRotation="90" wrapText="1"/>
    </xf>
    <xf numFmtId="171" fontId="46" fillId="5" borderId="8" xfId="0" applyNumberFormat="1" applyFont="1" applyFill="1" applyBorder="1" applyAlignment="1">
      <alignment horizontal="center" vertical="center" textRotation="90" wrapText="1"/>
    </xf>
    <xf numFmtId="0" fontId="46" fillId="11" borderId="5" xfId="0" applyFont="1" applyFill="1" applyBorder="1" applyAlignment="1">
      <alignment vertical="center"/>
    </xf>
    <xf numFmtId="0" fontId="46" fillId="11" borderId="12" xfId="0" applyFont="1" applyFill="1" applyBorder="1" applyAlignment="1">
      <alignment horizontal="right" vertical="center"/>
    </xf>
    <xf numFmtId="3" fontId="46" fillId="11" borderId="63" xfId="0" applyNumberFormat="1" applyFont="1" applyFill="1" applyBorder="1" applyAlignment="1">
      <alignment horizontal="center"/>
    </xf>
    <xf numFmtId="3" fontId="46" fillId="11" borderId="64" xfId="0" applyNumberFormat="1" applyFont="1" applyFill="1" applyBorder="1" applyAlignment="1">
      <alignment horizontal="center"/>
    </xf>
    <xf numFmtId="3" fontId="46" fillId="11" borderId="66" xfId="0" applyNumberFormat="1" applyFont="1" applyFill="1" applyBorder="1" applyAlignment="1">
      <alignment horizontal="center"/>
    </xf>
    <xf numFmtId="3" fontId="46" fillId="11" borderId="65" xfId="0" applyNumberFormat="1" applyFont="1" applyFill="1" applyBorder="1" applyAlignment="1">
      <alignment horizontal="center"/>
    </xf>
    <xf numFmtId="3" fontId="46" fillId="11" borderId="64" xfId="0" applyNumberFormat="1" applyFont="1" applyFill="1" applyBorder="1" applyAlignment="1">
      <alignment horizontal="center" vertical="center"/>
    </xf>
    <xf numFmtId="0" fontId="46" fillId="11" borderId="63" xfId="0" applyFont="1" applyFill="1" applyBorder="1" applyAlignment="1">
      <alignment horizontal="center" vertical="center"/>
    </xf>
    <xf numFmtId="9" fontId="46" fillId="11" borderId="64" xfId="0" applyNumberFormat="1" applyFont="1" applyFill="1" applyBorder="1" applyAlignment="1">
      <alignment vertical="center" wrapText="1"/>
    </xf>
    <xf numFmtId="9" fontId="46" fillId="11" borderId="66" xfId="0" applyNumberFormat="1" applyFont="1" applyFill="1" applyBorder="1" applyAlignment="1">
      <alignment vertical="center" wrapText="1"/>
    </xf>
    <xf numFmtId="171" fontId="46" fillId="11" borderId="11" xfId="0" applyNumberFormat="1" applyFont="1" applyFill="1" applyBorder="1" applyAlignment="1">
      <alignment horizontal="center" vertical="center" textRotation="90" wrapText="1"/>
    </xf>
    <xf numFmtId="171" fontId="46" fillId="11" borderId="0" xfId="0" applyNumberFormat="1" applyFont="1" applyFill="1" applyAlignment="1">
      <alignment horizontal="center" vertical="center" textRotation="90" wrapText="1"/>
    </xf>
    <xf numFmtId="171" fontId="46" fillId="11" borderId="9" xfId="0" applyNumberFormat="1" applyFont="1" applyFill="1" applyBorder="1" applyAlignment="1">
      <alignment horizontal="center" vertical="center" textRotation="90" wrapText="1"/>
    </xf>
    <xf numFmtId="171" fontId="46" fillId="11" borderId="5" xfId="0" applyNumberFormat="1" applyFont="1" applyFill="1" applyBorder="1" applyAlignment="1">
      <alignment horizontal="center" vertical="center" textRotation="90" wrapText="1"/>
    </xf>
    <xf numFmtId="171" fontId="46" fillId="5" borderId="12" xfId="0" applyNumberFormat="1" applyFont="1" applyFill="1" applyBorder="1" applyAlignment="1">
      <alignment horizontal="center" vertical="center" textRotation="90" wrapText="1"/>
    </xf>
    <xf numFmtId="3" fontId="36" fillId="20" borderId="7" xfId="0" applyNumberFormat="1" applyFont="1" applyFill="1" applyBorder="1" applyAlignment="1">
      <alignment horizontal="center"/>
    </xf>
    <xf numFmtId="3" fontId="36" fillId="20" borderId="6" xfId="0" applyNumberFormat="1" applyFont="1" applyFill="1" applyBorder="1" applyAlignment="1">
      <alignment horizontal="center"/>
    </xf>
    <xf numFmtId="9" fontId="36" fillId="20" borderId="6" xfId="0" applyNumberFormat="1" applyFont="1" applyFill="1" applyBorder="1" applyAlignment="1">
      <alignment horizontal="center"/>
    </xf>
    <xf numFmtId="9" fontId="36" fillId="20" borderId="8" xfId="0" applyNumberFormat="1" applyFont="1" applyFill="1" applyBorder="1" applyAlignment="1">
      <alignment horizontal="center"/>
    </xf>
    <xf numFmtId="171" fontId="46" fillId="5" borderId="0" xfId="0" applyNumberFormat="1" applyFont="1" applyFill="1" applyAlignment="1" applyProtection="1">
      <alignment horizontal="center"/>
      <protection locked="0"/>
    </xf>
    <xf numFmtId="0" fontId="71" fillId="11" borderId="42" xfId="0" applyFont="1" applyFill="1" applyBorder="1" applyAlignment="1">
      <alignment vertical="center"/>
    </xf>
    <xf numFmtId="0" fontId="71" fillId="11" borderId="23" xfId="0" applyFont="1" applyFill="1" applyBorder="1" applyAlignment="1">
      <alignment horizontal="center" vertical="center"/>
    </xf>
    <xf numFmtId="0" fontId="71" fillId="11" borderId="23" xfId="0" applyFont="1" applyFill="1" applyBorder="1" applyAlignment="1">
      <alignment vertical="center"/>
    </xf>
    <xf numFmtId="0" fontId="71" fillId="11" borderId="43" xfId="0" applyFont="1" applyFill="1" applyBorder="1" applyAlignment="1">
      <alignment vertical="center"/>
    </xf>
    <xf numFmtId="0" fontId="66" fillId="8" borderId="0" xfId="0" applyFont="1" applyFill="1" applyAlignment="1">
      <alignment vertical="center"/>
    </xf>
    <xf numFmtId="0" fontId="66" fillId="8" borderId="0" xfId="0" applyFont="1" applyFill="1" applyAlignment="1">
      <alignment horizontal="center" vertical="center"/>
    </xf>
    <xf numFmtId="0" fontId="72" fillId="8" borderId="11" xfId="0" applyFont="1" applyFill="1" applyBorder="1" applyAlignment="1">
      <alignment horizontal="center" vertical="center"/>
    </xf>
    <xf numFmtId="171" fontId="73" fillId="11" borderId="11" xfId="0" applyNumberFormat="1" applyFont="1" applyFill="1" applyBorder="1" applyAlignment="1">
      <alignment horizontal="center" vertical="center"/>
    </xf>
    <xf numFmtId="171" fontId="73" fillId="11" borderId="0" xfId="0" applyNumberFormat="1" applyFont="1" applyFill="1" applyAlignment="1">
      <alignment horizontal="center" vertical="center"/>
    </xf>
    <xf numFmtId="171" fontId="73" fillId="5" borderId="10" xfId="0" applyNumberFormat="1" applyFont="1" applyFill="1" applyBorder="1" applyAlignment="1">
      <alignment horizontal="center" vertical="center"/>
    </xf>
    <xf numFmtId="0" fontId="46" fillId="8" borderId="0" xfId="0" applyFont="1" applyFill="1" applyAlignment="1">
      <alignment vertical="center"/>
    </xf>
    <xf numFmtId="0" fontId="70" fillId="5" borderId="42" xfId="0" applyFont="1" applyFill="1" applyBorder="1" applyAlignment="1">
      <alignment vertical="center"/>
    </xf>
    <xf numFmtId="0" fontId="70" fillId="5" borderId="23" xfId="0" applyFont="1" applyFill="1" applyBorder="1" applyAlignment="1">
      <alignment vertical="center"/>
    </xf>
    <xf numFmtId="0" fontId="70" fillId="5" borderId="43" xfId="0" applyFont="1" applyFill="1" applyBorder="1" applyAlignment="1">
      <alignment horizontal="right" vertical="center"/>
    </xf>
    <xf numFmtId="3" fontId="46" fillId="8" borderId="0" xfId="0" applyNumberFormat="1" applyFont="1" applyFill="1" applyAlignment="1">
      <alignment horizontal="center" vertical="center"/>
    </xf>
    <xf numFmtId="3" fontId="46" fillId="5" borderId="42" xfId="0" applyNumberFormat="1" applyFont="1" applyFill="1" applyBorder="1" applyAlignment="1">
      <alignment horizontal="center" vertical="center"/>
    </xf>
    <xf numFmtId="3" fontId="46" fillId="5" borderId="23" xfId="0" applyNumberFormat="1" applyFont="1" applyFill="1" applyBorder="1" applyAlignment="1">
      <alignment horizontal="center" vertical="center"/>
    </xf>
    <xf numFmtId="3" fontId="46" fillId="5" borderId="43" xfId="0" applyNumberFormat="1" applyFont="1" applyFill="1" applyBorder="1" applyAlignment="1">
      <alignment horizontal="center" vertical="center"/>
    </xf>
    <xf numFmtId="0" fontId="46" fillId="8" borderId="0" xfId="0" applyFont="1" applyFill="1" applyAlignment="1">
      <alignment horizontal="center" vertical="center"/>
    </xf>
    <xf numFmtId="9" fontId="46" fillId="5" borderId="42" xfId="0" applyNumberFormat="1" applyFont="1" applyFill="1" applyBorder="1" applyAlignment="1">
      <alignment horizontal="center" vertical="center"/>
    </xf>
    <xf numFmtId="9" fontId="46" fillId="5" borderId="23" xfId="0" applyNumberFormat="1" applyFont="1" applyFill="1" applyBorder="1" applyAlignment="1">
      <alignment horizontal="center" vertical="center"/>
    </xf>
    <xf numFmtId="9" fontId="46" fillId="5" borderId="43" xfId="0" applyNumberFormat="1" applyFont="1" applyFill="1" applyBorder="1" applyAlignment="1">
      <alignment horizontal="center" vertical="center"/>
    </xf>
    <xf numFmtId="171" fontId="46" fillId="11" borderId="9" xfId="0" applyNumberFormat="1" applyFont="1" applyFill="1" applyBorder="1" applyAlignment="1">
      <alignment horizontal="center" vertical="center"/>
    </xf>
    <xf numFmtId="171" fontId="46" fillId="11" borderId="5" xfId="0" applyNumberFormat="1" applyFont="1" applyFill="1" applyBorder="1" applyAlignment="1">
      <alignment horizontal="center" vertical="center"/>
    </xf>
    <xf numFmtId="171" fontId="46" fillId="5" borderId="9" xfId="0" applyNumberFormat="1" applyFont="1" applyFill="1" applyBorder="1" applyAlignment="1">
      <alignment horizontal="center"/>
    </xf>
    <xf numFmtId="171" fontId="46" fillId="5" borderId="5" xfId="0" applyNumberFormat="1" applyFont="1" applyFill="1" applyBorder="1" applyAlignment="1">
      <alignment horizontal="center"/>
    </xf>
    <xf numFmtId="171" fontId="46" fillId="5" borderId="12" xfId="0" applyNumberFormat="1" applyFont="1" applyFill="1" applyBorder="1" applyAlignment="1">
      <alignment horizontal="center"/>
    </xf>
    <xf numFmtId="0" fontId="74" fillId="11" borderId="17" xfId="0" applyFont="1" applyFill="1" applyBorder="1" applyAlignment="1">
      <alignment horizontal="center"/>
    </xf>
    <xf numFmtId="0" fontId="74" fillId="11" borderId="17" xfId="0" applyFont="1" applyFill="1" applyBorder="1"/>
    <xf numFmtId="0" fontId="29" fillId="20" borderId="0" xfId="0" applyFont="1" applyFill="1" applyAlignment="1">
      <alignment horizontal="left"/>
    </xf>
    <xf numFmtId="0" fontId="29" fillId="20" borderId="0" xfId="0" applyFont="1" applyFill="1" applyAlignment="1">
      <alignment horizontal="center"/>
    </xf>
    <xf numFmtId="0" fontId="4" fillId="8" borderId="42" xfId="0" applyFont="1" applyFill="1" applyBorder="1" applyAlignment="1">
      <alignment vertical="center"/>
    </xf>
    <xf numFmtId="0" fontId="4" fillId="8" borderId="43" xfId="0" applyFont="1" applyFill="1" applyBorder="1" applyAlignment="1">
      <alignment vertical="center"/>
    </xf>
    <xf numFmtId="0" fontId="77" fillId="11" borderId="17" xfId="0" applyFont="1" applyFill="1" applyBorder="1" applyAlignment="1">
      <alignment horizontal="left"/>
    </xf>
    <xf numFmtId="9" fontId="4" fillId="8" borderId="17" xfId="0" applyNumberFormat="1" applyFont="1" applyFill="1" applyBorder="1" applyAlignment="1">
      <alignment horizontal="center" vertical="center"/>
    </xf>
    <xf numFmtId="0" fontId="4" fillId="8" borderId="0" xfId="0" applyFont="1" applyFill="1" applyAlignment="1">
      <alignment horizontal="center" vertical="center"/>
    </xf>
    <xf numFmtId="0" fontId="16" fillId="0" borderId="5" xfId="0" applyFont="1" applyBorder="1" applyProtection="1"/>
    <xf numFmtId="0" fontId="16" fillId="0" borderId="5" xfId="0" applyFont="1" applyBorder="1" applyAlignment="1" applyProtection="1">
      <alignment horizontal="right"/>
    </xf>
    <xf numFmtId="0" fontId="15" fillId="0" borderId="0" xfId="0" applyFont="1" applyProtection="1"/>
    <xf numFmtId="166" fontId="15" fillId="0" borderId="0" xfId="3" applyNumberFormat="1" applyFont="1" applyProtection="1"/>
    <xf numFmtId="0" fontId="4" fillId="10" borderId="5" xfId="0" applyFont="1" applyFill="1" applyBorder="1" applyAlignment="1" applyProtection="1">
      <alignment horizontal="right" vertical="center"/>
    </xf>
    <xf numFmtId="0" fontId="30" fillId="0" borderId="0" xfId="0" applyFont="1" applyAlignment="1" applyProtection="1">
      <alignment horizontal="center"/>
    </xf>
    <xf numFmtId="0" fontId="30" fillId="0" borderId="0" xfId="0" applyFont="1" applyProtection="1"/>
    <xf numFmtId="0" fontId="30" fillId="0" borderId="0" xfId="0" applyFont="1" applyAlignment="1" applyProtection="1">
      <alignment horizontal="center" vertical="center" wrapText="1"/>
    </xf>
    <xf numFmtId="0" fontId="30" fillId="9" borderId="0" xfId="0" applyFont="1" applyFill="1" applyAlignment="1" applyProtection="1">
      <alignment horizontal="center" vertical="center" wrapText="1"/>
    </xf>
    <xf numFmtId="165" fontId="30" fillId="0" borderId="0" xfId="0" applyNumberFormat="1" applyFont="1" applyAlignment="1" applyProtection="1">
      <alignment horizontal="center"/>
    </xf>
    <xf numFmtId="169" fontId="30" fillId="9" borderId="0" xfId="0" applyNumberFormat="1" applyFont="1" applyFill="1" applyAlignment="1" applyProtection="1">
      <alignment horizontal="center"/>
    </xf>
    <xf numFmtId="0" fontId="30" fillId="9" borderId="0" xfId="0" applyFont="1" applyFill="1" applyAlignment="1" applyProtection="1">
      <alignment horizontal="center"/>
    </xf>
    <xf numFmtId="170" fontId="30" fillId="9" borderId="0" xfId="0" applyNumberFormat="1" applyFont="1" applyFill="1" applyAlignment="1" applyProtection="1">
      <alignment horizontal="center"/>
    </xf>
    <xf numFmtId="165" fontId="30" fillId="9" borderId="0" xfId="0" applyNumberFormat="1" applyFont="1" applyFill="1" applyAlignment="1" applyProtection="1">
      <alignment horizontal="center"/>
    </xf>
    <xf numFmtId="0" fontId="30" fillId="15" borderId="0" xfId="0" applyFont="1" applyFill="1" applyAlignment="1" applyProtection="1">
      <alignment horizontal="center"/>
    </xf>
    <xf numFmtId="165" fontId="30" fillId="15" borderId="0" xfId="0" applyNumberFormat="1" applyFont="1" applyFill="1" applyAlignment="1" applyProtection="1">
      <alignment horizontal="center"/>
    </xf>
    <xf numFmtId="0" fontId="30" fillId="0" borderId="0" xfId="0" applyFont="1" applyAlignment="1" applyProtection="1">
      <alignment horizontal="left"/>
    </xf>
    <xf numFmtId="0" fontId="30" fillId="4" borderId="0" xfId="0" applyFont="1" applyFill="1" applyAlignment="1" applyProtection="1">
      <alignment horizontal="center"/>
    </xf>
    <xf numFmtId="2" fontId="30" fillId="9" borderId="0" xfId="0" applyNumberFormat="1" applyFont="1" applyFill="1" applyAlignment="1" applyProtection="1">
      <alignment horizontal="center"/>
    </xf>
    <xf numFmtId="2" fontId="30" fillId="0" borderId="0" xfId="0" applyNumberFormat="1" applyFont="1" applyAlignment="1" applyProtection="1">
      <alignment horizontal="center"/>
    </xf>
    <xf numFmtId="2" fontId="30" fillId="14" borderId="0" xfId="0" applyNumberFormat="1" applyFont="1" applyFill="1" applyAlignment="1" applyProtection="1">
      <alignment horizontal="center"/>
    </xf>
    <xf numFmtId="0" fontId="31" fillId="16" borderId="0" xfId="0" applyFont="1" applyFill="1" applyAlignment="1" applyProtection="1">
      <alignment horizontal="center"/>
    </xf>
    <xf numFmtId="0" fontId="32" fillId="0" borderId="0" xfId="0" applyFont="1" applyAlignment="1" applyProtection="1">
      <alignment horizontal="center"/>
    </xf>
    <xf numFmtId="165" fontId="32" fillId="0" borderId="0" xfId="0" applyNumberFormat="1" applyFont="1" applyAlignment="1" applyProtection="1">
      <alignment horizontal="center"/>
    </xf>
    <xf numFmtId="167" fontId="15" fillId="0" borderId="0" xfId="3" applyNumberFormat="1" applyFont="1" applyProtection="1"/>
    <xf numFmtId="0" fontId="4" fillId="8" borderId="0" xfId="0" applyFont="1" applyFill="1" applyProtection="1"/>
    <xf numFmtId="0" fontId="4" fillId="12" borderId="0" xfId="0" applyFont="1" applyFill="1" applyBorder="1" applyAlignment="1" applyProtection="1">
      <alignment horizontal="right" vertical="center" wrapText="1"/>
    </xf>
    <xf numFmtId="0" fontId="46" fillId="11" borderId="53" xfId="0" applyFont="1" applyFill="1" applyBorder="1" applyAlignment="1">
      <alignment horizontal="center" textRotation="90"/>
    </xf>
    <xf numFmtId="0" fontId="46" fillId="11" borderId="54" xfId="0" applyFont="1" applyFill="1" applyBorder="1" applyAlignment="1">
      <alignment horizontal="center" textRotation="90"/>
    </xf>
    <xf numFmtId="0" fontId="46" fillId="11" borderId="55" xfId="0" applyFont="1" applyFill="1" applyBorder="1" applyAlignment="1">
      <alignment horizontal="center" textRotation="90"/>
    </xf>
    <xf numFmtId="1" fontId="46" fillId="11" borderId="56" xfId="0" applyNumberFormat="1" applyFont="1" applyFill="1" applyBorder="1" applyAlignment="1">
      <alignment horizontal="center" textRotation="90"/>
    </xf>
    <xf numFmtId="3" fontId="46" fillId="8" borderId="57" xfId="0" applyNumberFormat="1" applyFont="1" applyFill="1" applyBorder="1" applyAlignment="1">
      <alignment horizontal="center" textRotation="90"/>
    </xf>
    <xf numFmtId="3" fontId="46" fillId="11" borderId="53" xfId="0" applyNumberFormat="1" applyFont="1" applyFill="1" applyBorder="1" applyAlignment="1">
      <alignment horizontal="center" textRotation="90"/>
    </xf>
    <xf numFmtId="3" fontId="46" fillId="11" borderId="54" xfId="0" applyNumberFormat="1" applyFont="1" applyFill="1" applyBorder="1" applyAlignment="1">
      <alignment horizontal="center" textRotation="90" wrapText="1"/>
    </xf>
    <xf numFmtId="3" fontId="46" fillId="11" borderId="54" xfId="0" applyNumberFormat="1" applyFont="1" applyFill="1" applyBorder="1" applyAlignment="1">
      <alignment horizontal="center" textRotation="90"/>
    </xf>
    <xf numFmtId="0" fontId="46" fillId="11" borderId="54" xfId="0" applyFont="1" applyFill="1" applyBorder="1" applyAlignment="1">
      <alignment horizontal="center" textRotation="90" wrapText="1"/>
    </xf>
    <xf numFmtId="0" fontId="46" fillId="11" borderId="56" xfId="0" applyFont="1" applyFill="1" applyBorder="1" applyAlignment="1">
      <alignment horizontal="center" textRotation="90"/>
    </xf>
    <xf numFmtId="0" fontId="46" fillId="8" borderId="57" xfId="0" applyFont="1" applyFill="1" applyBorder="1" applyAlignment="1">
      <alignment horizontal="center" textRotation="90"/>
    </xf>
    <xf numFmtId="0" fontId="46" fillId="11" borderId="56" xfId="0" applyFont="1" applyFill="1" applyBorder="1" applyAlignment="1">
      <alignment horizontal="center" textRotation="90" wrapText="1"/>
    </xf>
    <xf numFmtId="0" fontId="46" fillId="8" borderId="58" xfId="0" applyFont="1" applyFill="1" applyBorder="1" applyAlignment="1">
      <alignment horizontal="center" textRotation="90" wrapText="1"/>
    </xf>
    <xf numFmtId="0" fontId="46" fillId="11" borderId="59" xfId="0" applyFont="1" applyFill="1" applyBorder="1" applyAlignment="1">
      <alignment horizontal="center" textRotation="90" wrapText="1"/>
    </xf>
    <xf numFmtId="0" fontId="46" fillId="11" borderId="60" xfId="0" applyFont="1" applyFill="1" applyBorder="1" applyAlignment="1">
      <alignment horizontal="center" textRotation="90" wrapText="1"/>
    </xf>
    <xf numFmtId="0" fontId="46" fillId="5" borderId="60" xfId="0" applyFont="1" applyFill="1" applyBorder="1" applyAlignment="1">
      <alignment horizontal="center" textRotation="90" wrapText="1"/>
    </xf>
    <xf numFmtId="0" fontId="0" fillId="8" borderId="0" xfId="0" applyFill="1" applyAlignment="1">
      <alignment horizontal="center" textRotation="90"/>
    </xf>
    <xf numFmtId="0" fontId="106" fillId="20" borderId="0" xfId="0" applyFont="1" applyFill="1" applyAlignment="1" applyProtection="1">
      <alignment horizontal="left"/>
    </xf>
    <xf numFmtId="0" fontId="46" fillId="11" borderId="53" xfId="0" applyFont="1" applyFill="1" applyBorder="1" applyAlignment="1" applyProtection="1">
      <alignment horizontal="center" textRotation="90"/>
    </xf>
    <xf numFmtId="0" fontId="46" fillId="11" borderId="54" xfId="0" applyFont="1" applyFill="1" applyBorder="1" applyAlignment="1" applyProtection="1">
      <alignment horizontal="center" textRotation="90"/>
    </xf>
    <xf numFmtId="0" fontId="46" fillId="11" borderId="55" xfId="0" applyFont="1" applyFill="1" applyBorder="1" applyAlignment="1" applyProtection="1">
      <alignment horizontal="center" textRotation="90"/>
    </xf>
    <xf numFmtId="1" fontId="46" fillId="11" borderId="56" xfId="0" applyNumberFormat="1" applyFont="1" applyFill="1" applyBorder="1" applyAlignment="1" applyProtection="1">
      <alignment horizontal="center" textRotation="90"/>
    </xf>
    <xf numFmtId="3" fontId="46" fillId="8" borderId="57" xfId="0" applyNumberFormat="1" applyFont="1" applyFill="1" applyBorder="1" applyAlignment="1" applyProtection="1">
      <alignment horizontal="center" textRotation="90"/>
    </xf>
    <xf numFmtId="0" fontId="46" fillId="11" borderId="54" xfId="0" applyFont="1" applyFill="1" applyBorder="1" applyAlignment="1" applyProtection="1">
      <alignment horizontal="center" textRotation="90" wrapText="1"/>
    </xf>
    <xf numFmtId="0" fontId="46" fillId="11" borderId="56" xfId="0" applyFont="1" applyFill="1" applyBorder="1" applyAlignment="1" applyProtection="1">
      <alignment horizontal="center" textRotation="90"/>
    </xf>
    <xf numFmtId="0" fontId="46" fillId="8" borderId="57" xfId="0" applyFont="1" applyFill="1" applyBorder="1" applyAlignment="1" applyProtection="1">
      <alignment horizontal="center" textRotation="90"/>
    </xf>
    <xf numFmtId="0" fontId="46" fillId="11" borderId="56" xfId="0" applyFont="1" applyFill="1" applyBorder="1" applyAlignment="1" applyProtection="1">
      <alignment horizontal="center" textRotation="90" wrapText="1"/>
    </xf>
    <xf numFmtId="0" fontId="46" fillId="8" borderId="58" xfId="0" applyFont="1" applyFill="1" applyBorder="1" applyAlignment="1" applyProtection="1">
      <alignment horizontal="center" textRotation="90" wrapText="1"/>
    </xf>
    <xf numFmtId="0" fontId="46" fillId="11" borderId="7" xfId="0" applyFont="1" applyFill="1" applyBorder="1" applyAlignment="1" applyProtection="1">
      <alignment horizontal="center" textRotation="90" wrapText="1"/>
    </xf>
    <xf numFmtId="0" fontId="46" fillId="11" borderId="17" xfId="0" applyFont="1" applyFill="1" applyBorder="1" applyAlignment="1" applyProtection="1">
      <alignment horizontal="center" textRotation="90" wrapText="1"/>
    </xf>
    <xf numFmtId="0" fontId="52" fillId="20" borderId="0" xfId="0" applyFont="1" applyFill="1"/>
    <xf numFmtId="0" fontId="46" fillId="11" borderId="88" xfId="0" applyFont="1" applyFill="1" applyBorder="1" applyAlignment="1">
      <alignment vertical="center" wrapText="1"/>
    </xf>
    <xf numFmtId="0" fontId="46" fillId="11" borderId="89" xfId="0" applyFont="1" applyFill="1" applyBorder="1" applyAlignment="1">
      <alignment vertical="center" wrapText="1"/>
    </xf>
    <xf numFmtId="0" fontId="46" fillId="11" borderId="90" xfId="0" applyFont="1" applyFill="1" applyBorder="1" applyAlignment="1">
      <alignment vertical="center" wrapText="1"/>
    </xf>
    <xf numFmtId="0" fontId="46" fillId="11" borderId="91" xfId="0" applyFont="1" applyFill="1" applyBorder="1" applyAlignment="1">
      <alignment vertical="center" wrapText="1"/>
    </xf>
    <xf numFmtId="0" fontId="46" fillId="11" borderId="92" xfId="0" applyFont="1" applyFill="1" applyBorder="1" applyAlignment="1">
      <alignment vertical="center" wrapText="1"/>
    </xf>
    <xf numFmtId="0" fontId="6" fillId="8" borderId="0" xfId="0" applyFont="1" applyFill="1" applyAlignment="1" applyProtection="1">
      <alignment vertical="center"/>
    </xf>
    <xf numFmtId="0" fontId="17" fillId="8" borderId="0" xfId="0" applyFont="1" applyFill="1" applyProtection="1"/>
    <xf numFmtId="0" fontId="0" fillId="8" borderId="0" xfId="0" applyFill="1" applyAlignment="1" applyProtection="1">
      <alignment vertical="center"/>
    </xf>
    <xf numFmtId="0" fontId="0" fillId="8" borderId="0" xfId="0" applyFill="1" applyAlignment="1" applyProtection="1">
      <alignment horizontal="right" vertical="center"/>
    </xf>
    <xf numFmtId="0" fontId="0" fillId="8" borderId="0" xfId="0" applyFill="1" applyAlignment="1" applyProtection="1"/>
    <xf numFmtId="0" fontId="0" fillId="8" borderId="0" xfId="0" applyFill="1" applyAlignment="1" applyProtection="1">
      <alignment horizontal="left" vertical="center"/>
    </xf>
    <xf numFmtId="0" fontId="17" fillId="8" borderId="0" xfId="0" applyFont="1" applyFill="1" applyAlignment="1" applyProtection="1">
      <alignment vertical="center"/>
    </xf>
    <xf numFmtId="0" fontId="0" fillId="8" borderId="0" xfId="0" applyFill="1" applyAlignment="1" applyProtection="1">
      <alignment horizontal="center" vertical="center"/>
    </xf>
    <xf numFmtId="0" fontId="18" fillId="8" borderId="0" xfId="0" applyFont="1" applyFill="1" applyProtection="1"/>
    <xf numFmtId="0" fontId="17" fillId="8" borderId="0" xfId="0" applyFont="1" applyFill="1" applyAlignment="1" applyProtection="1">
      <alignment horizontal="center"/>
    </xf>
    <xf numFmtId="0" fontId="17" fillId="8" borderId="0" xfId="0" applyFont="1" applyFill="1" applyAlignment="1" applyProtection="1">
      <alignment horizontal="center" vertical="center"/>
    </xf>
    <xf numFmtId="0" fontId="0" fillId="8" borderId="0" xfId="0" applyFill="1" applyAlignment="1" applyProtection="1">
      <alignment horizontal="right"/>
    </xf>
    <xf numFmtId="164" fontId="0" fillId="8" borderId="0" xfId="1" applyNumberFormat="1" applyFont="1" applyFill="1" applyProtection="1"/>
    <xf numFmtId="0" fontId="18" fillId="8" borderId="0" xfId="0" applyFont="1" applyFill="1" applyAlignment="1" applyProtection="1">
      <alignment horizontal="right"/>
    </xf>
    <xf numFmtId="0" fontId="104" fillId="8" borderId="0" xfId="0" applyFont="1" applyFill="1" applyAlignment="1" applyProtection="1">
      <alignment horizontal="right"/>
    </xf>
    <xf numFmtId="0" fontId="27" fillId="8" borderId="0" xfId="0" applyFont="1" applyFill="1" applyProtection="1"/>
    <xf numFmtId="0" fontId="105" fillId="8" borderId="0" xfId="0" applyFont="1" applyFill="1" applyAlignment="1" applyProtection="1">
      <alignment horizontal="right"/>
    </xf>
    <xf numFmtId="0" fontId="28" fillId="8" borderId="0" xfId="0" applyFont="1" applyFill="1" applyProtection="1"/>
    <xf numFmtId="0" fontId="26" fillId="8" borderId="0" xfId="0" applyFont="1" applyFill="1" applyProtection="1"/>
    <xf numFmtId="0" fontId="87" fillId="8" borderId="0" xfId="0" applyFont="1" applyFill="1" applyProtection="1"/>
    <xf numFmtId="0" fontId="70" fillId="11" borderId="7" xfId="0" applyFont="1" applyFill="1" applyBorder="1" applyProtection="1"/>
    <xf numFmtId="0" fontId="84" fillId="8" borderId="0" xfId="0" applyFont="1" applyFill="1" applyAlignment="1" applyProtection="1"/>
    <xf numFmtId="0" fontId="85" fillId="8" borderId="0" xfId="0" applyFont="1" applyFill="1" applyAlignment="1" applyProtection="1"/>
    <xf numFmtId="0" fontId="84" fillId="8" borderId="0" xfId="0" applyFont="1" applyFill="1" applyAlignment="1" applyProtection="1">
      <alignment horizontal="right"/>
    </xf>
    <xf numFmtId="0" fontId="11" fillId="8" borderId="0" xfId="0" quotePrefix="1" applyFont="1" applyFill="1" applyAlignment="1" applyProtection="1">
      <alignment horizontal="center" vertical="top" wrapText="1"/>
    </xf>
    <xf numFmtId="0" fontId="6" fillId="8" borderId="0" xfId="0" quotePrefix="1" applyFont="1" applyFill="1" applyAlignment="1" applyProtection="1">
      <alignment wrapText="1"/>
    </xf>
    <xf numFmtId="0" fontId="6" fillId="8" borderId="0" xfId="0" quotePrefix="1" applyFont="1" applyFill="1" applyAlignment="1" applyProtection="1">
      <alignment vertical="center" wrapText="1"/>
    </xf>
    <xf numFmtId="0" fontId="12" fillId="8" borderId="0" xfId="0" quotePrefix="1" applyFont="1" applyFill="1" applyAlignment="1" applyProtection="1">
      <alignment horizontal="center" vertical="center" wrapText="1"/>
    </xf>
    <xf numFmtId="0" fontId="10" fillId="8" borderId="0" xfId="0" applyFont="1" applyFill="1" applyAlignment="1" applyProtection="1">
      <alignment vertical="top" wrapText="1"/>
    </xf>
    <xf numFmtId="0" fontId="6" fillId="8" borderId="0" xfId="0" applyFont="1" applyFill="1" applyAlignment="1" applyProtection="1">
      <alignment wrapText="1"/>
    </xf>
    <xf numFmtId="0" fontId="13" fillId="8" borderId="0" xfId="0" applyFont="1" applyFill="1" applyProtection="1"/>
    <xf numFmtId="0" fontId="81" fillId="8" borderId="0" xfId="0" applyFont="1" applyFill="1" applyProtection="1"/>
    <xf numFmtId="0" fontId="82" fillId="8" borderId="0" xfId="0" applyFont="1" applyFill="1" applyProtection="1"/>
    <xf numFmtId="0" fontId="80" fillId="8" borderId="0" xfId="0" applyFont="1" applyFill="1" applyProtection="1"/>
    <xf numFmtId="0" fontId="6" fillId="8" borderId="0" xfId="0" applyFont="1" applyFill="1" applyProtection="1"/>
    <xf numFmtId="0" fontId="9" fillId="8" borderId="16" xfId="0" applyFont="1" applyFill="1" applyBorder="1" applyProtection="1"/>
    <xf numFmtId="0" fontId="79" fillId="8" borderId="16" xfId="0" applyFont="1" applyFill="1" applyBorder="1" applyProtection="1"/>
    <xf numFmtId="0" fontId="103" fillId="8" borderId="16" xfId="0" applyFont="1" applyFill="1" applyBorder="1" applyAlignment="1" applyProtection="1">
      <alignment horizontal="right"/>
    </xf>
    <xf numFmtId="0" fontId="9" fillId="8" borderId="0" xfId="0" applyFont="1" applyFill="1" applyBorder="1" applyProtection="1"/>
    <xf numFmtId="0" fontId="23" fillId="8" borderId="0" xfId="0" applyFont="1" applyFill="1" applyProtection="1"/>
    <xf numFmtId="168" fontId="104" fillId="8" borderId="0" xfId="2" applyNumberFormat="1" applyFont="1" applyFill="1" applyAlignment="1" applyProtection="1"/>
    <xf numFmtId="0" fontId="36" fillId="8" borderId="0" xfId="0" applyFont="1" applyFill="1" applyAlignment="1" applyProtection="1"/>
    <xf numFmtId="168" fontId="104" fillId="8" borderId="0" xfId="2" applyNumberFormat="1" applyFont="1" applyFill="1" applyAlignment="1" applyProtection="1">
      <alignment vertical="center"/>
    </xf>
    <xf numFmtId="0" fontId="36" fillId="8" borderId="0" xfId="0" applyFont="1" applyFill="1" applyAlignment="1" applyProtection="1">
      <alignment vertical="center"/>
    </xf>
    <xf numFmtId="0" fontId="54" fillId="8" borderId="5" xfId="0" applyFont="1" applyFill="1" applyBorder="1" applyAlignment="1" applyProtection="1">
      <alignment vertical="center"/>
    </xf>
    <xf numFmtId="2" fontId="52" fillId="8" borderId="0" xfId="0" quotePrefix="1" applyNumberFormat="1" applyFont="1" applyFill="1" applyAlignment="1" applyProtection="1">
      <alignment vertical="center"/>
    </xf>
    <xf numFmtId="0" fontId="52" fillId="8" borderId="0" xfId="0" applyFont="1" applyFill="1" applyAlignment="1" applyProtection="1">
      <alignment horizontal="right"/>
    </xf>
    <xf numFmtId="0" fontId="36" fillId="8" borderId="0" xfId="0" applyFont="1" applyFill="1" applyAlignment="1" applyProtection="1">
      <alignment horizontal="left" vertical="center"/>
    </xf>
    <xf numFmtId="0" fontId="52" fillId="8" borderId="0" xfId="0" applyFont="1" applyFill="1" applyAlignment="1" applyProtection="1">
      <alignment vertical="center"/>
    </xf>
    <xf numFmtId="0" fontId="104" fillId="8" borderId="0" xfId="0" applyFont="1" applyFill="1" applyProtection="1"/>
    <xf numFmtId="0" fontId="36" fillId="8" borderId="0" xfId="0" applyFont="1" applyFill="1" applyProtection="1"/>
    <xf numFmtId="0" fontId="52" fillId="8" borderId="5" xfId="0" applyFont="1" applyFill="1" applyBorder="1" applyAlignment="1" applyProtection="1">
      <alignment vertical="center"/>
    </xf>
    <xf numFmtId="0" fontId="52" fillId="8" borderId="0" xfId="0" applyFont="1" applyFill="1" applyAlignment="1" applyProtection="1">
      <alignment horizontal="left" vertical="center"/>
    </xf>
    <xf numFmtId="0" fontId="52" fillId="8" borderId="0" xfId="0" applyFont="1" applyFill="1" applyAlignment="1" applyProtection="1">
      <alignment horizontal="left"/>
    </xf>
    <xf numFmtId="0" fontId="52" fillId="8" borderId="0" xfId="0" applyFont="1" applyFill="1" applyProtection="1"/>
    <xf numFmtId="0" fontId="52" fillId="8" borderId="0" xfId="0" quotePrefix="1" applyFont="1" applyFill="1" applyAlignment="1" applyProtection="1">
      <alignment horizontal="left" vertical="center"/>
    </xf>
    <xf numFmtId="0" fontId="107" fillId="8" borderId="0" xfId="0" applyFont="1" applyFill="1" applyAlignment="1" applyProtection="1">
      <alignment vertical="center"/>
    </xf>
    <xf numFmtId="0" fontId="52" fillId="8" borderId="0" xfId="0" quotePrefix="1" applyFont="1" applyFill="1" applyAlignment="1" applyProtection="1">
      <alignment horizontal="left"/>
    </xf>
    <xf numFmtId="0" fontId="54" fillId="8" borderId="5" xfId="0" applyFont="1" applyFill="1" applyBorder="1" applyProtection="1"/>
    <xf numFmtId="0" fontId="36" fillId="8" borderId="5" xfId="0" applyFont="1" applyFill="1" applyBorder="1" applyProtection="1"/>
    <xf numFmtId="0" fontId="108" fillId="8" borderId="0" xfId="0" applyFont="1" applyFill="1" applyAlignment="1" applyProtection="1">
      <alignment horizontal="left"/>
    </xf>
    <xf numFmtId="165" fontId="52" fillId="8" borderId="0" xfId="0" applyNumberFormat="1" applyFont="1" applyFill="1" applyProtection="1"/>
    <xf numFmtId="0" fontId="67" fillId="8" borderId="26" xfId="0" applyFont="1" applyFill="1" applyBorder="1" applyAlignment="1" applyProtection="1"/>
    <xf numFmtId="0" fontId="67" fillId="8" borderId="0" xfId="0" applyFont="1" applyFill="1" applyAlignment="1" applyProtection="1"/>
    <xf numFmtId="0" fontId="67" fillId="8" borderId="16" xfId="0" applyFont="1" applyFill="1" applyBorder="1" applyAlignment="1" applyProtection="1"/>
    <xf numFmtId="0" fontId="34" fillId="8" borderId="0" xfId="0" applyFont="1" applyFill="1" applyAlignment="1" applyProtection="1">
      <alignment horizontal="center"/>
    </xf>
    <xf numFmtId="0" fontId="109" fillId="8" borderId="0" xfId="4" applyFont="1" applyFill="1" applyAlignment="1" applyProtection="1">
      <alignment horizontal="right" vertical="center"/>
    </xf>
    <xf numFmtId="0" fontId="0" fillId="12" borderId="6" xfId="0" applyFont="1" applyFill="1" applyBorder="1" applyProtection="1">
      <protection locked="0"/>
    </xf>
    <xf numFmtId="0" fontId="0" fillId="12" borderId="6" xfId="0" applyFont="1" applyFill="1" applyBorder="1" applyAlignment="1" applyProtection="1">
      <alignment horizontal="center" vertical="center"/>
      <protection locked="0"/>
    </xf>
    <xf numFmtId="171" fontId="46" fillId="11" borderId="93" xfId="0" applyNumberFormat="1" applyFont="1" applyFill="1" applyBorder="1" applyAlignment="1" applyProtection="1">
      <alignment horizontal="center"/>
      <protection locked="0"/>
    </xf>
    <xf numFmtId="0" fontId="0" fillId="12" borderId="23" xfId="0" applyFont="1" applyFill="1" applyBorder="1" applyProtection="1">
      <protection locked="0"/>
    </xf>
    <xf numFmtId="3" fontId="36" fillId="12" borderId="95" xfId="0" applyNumberFormat="1" applyFont="1" applyFill="1" applyBorder="1" applyAlignment="1" applyProtection="1">
      <alignment horizontal="center"/>
      <protection locked="0"/>
    </xf>
    <xf numFmtId="3" fontId="36" fillId="12" borderId="94" xfId="0" applyNumberFormat="1" applyFont="1" applyFill="1" applyBorder="1" applyAlignment="1" applyProtection="1">
      <alignment horizontal="center"/>
      <protection locked="0"/>
    </xf>
    <xf numFmtId="0" fontId="36" fillId="12" borderId="94" xfId="0" applyFont="1" applyFill="1" applyBorder="1" applyAlignment="1" applyProtection="1">
      <alignment horizontal="center"/>
      <protection locked="0"/>
    </xf>
    <xf numFmtId="9" fontId="36" fillId="12" borderId="95" xfId="0" applyNumberFormat="1" applyFont="1" applyFill="1" applyBorder="1" applyAlignment="1" applyProtection="1">
      <alignment horizontal="center"/>
      <protection locked="0"/>
    </xf>
    <xf numFmtId="171" fontId="46" fillId="11" borderId="96" xfId="0" applyNumberFormat="1" applyFont="1" applyFill="1" applyBorder="1" applyAlignment="1" applyProtection="1">
      <alignment horizontal="center"/>
      <protection locked="0"/>
    </xf>
    <xf numFmtId="171" fontId="46" fillId="11" borderId="97" xfId="0" applyNumberFormat="1" applyFont="1" applyFill="1" applyBorder="1" applyAlignment="1" applyProtection="1">
      <alignment horizontal="center"/>
      <protection locked="0"/>
    </xf>
    <xf numFmtId="0" fontId="0" fillId="12" borderId="94" xfId="0" applyFont="1" applyFill="1" applyBorder="1" applyAlignment="1" applyProtection="1">
      <alignment horizontal="center"/>
      <protection locked="0"/>
    </xf>
    <xf numFmtId="171" fontId="46" fillId="11" borderId="98" xfId="0" applyNumberFormat="1" applyFont="1" applyFill="1" applyBorder="1" applyAlignment="1" applyProtection="1">
      <alignment horizontal="center"/>
      <protection locked="0"/>
    </xf>
    <xf numFmtId="0" fontId="0" fillId="12" borderId="6" xfId="0" applyFont="1" applyFill="1" applyBorder="1" applyAlignment="1" applyProtection="1">
      <alignment horizontal="center"/>
      <protection locked="0"/>
    </xf>
    <xf numFmtId="164" fontId="49" fillId="5" borderId="45" xfId="1" applyNumberFormat="1" applyFont="1" applyFill="1" applyBorder="1" applyAlignment="1" applyProtection="1">
      <alignment horizontal="center"/>
    </xf>
    <xf numFmtId="0" fontId="0" fillId="8" borderId="11" xfId="0" applyFont="1" applyFill="1" applyBorder="1" applyAlignment="1" applyProtection="1">
      <alignment horizontal="center"/>
      <protection locked="0"/>
    </xf>
    <xf numFmtId="9" fontId="36" fillId="8" borderId="0" xfId="0" applyNumberFormat="1" applyFont="1" applyFill="1" applyBorder="1" applyAlignment="1" applyProtection="1">
      <alignment horizontal="center"/>
    </xf>
    <xf numFmtId="1" fontId="0" fillId="12" borderId="6" xfId="0" applyNumberFormat="1" applyFont="1" applyFill="1" applyBorder="1" applyAlignment="1" applyProtection="1">
      <alignment horizontal="center"/>
      <protection locked="0"/>
    </xf>
    <xf numFmtId="3" fontId="0" fillId="8" borderId="11" xfId="0" applyNumberFormat="1" applyFont="1" applyFill="1" applyBorder="1" applyAlignment="1" applyProtection="1">
      <alignment horizontal="center"/>
      <protection locked="0"/>
    </xf>
    <xf numFmtId="1" fontId="0" fillId="12" borderId="23" xfId="0" applyNumberFormat="1" applyFont="1" applyFill="1" applyBorder="1" applyAlignment="1" applyProtection="1">
      <alignment horizontal="center"/>
      <protection locked="0"/>
    </xf>
    <xf numFmtId="3" fontId="0" fillId="8" borderId="96" xfId="0" applyNumberFormat="1" applyFont="1" applyFill="1" applyBorder="1" applyAlignment="1" applyProtection="1">
      <alignment horizontal="center"/>
      <protection locked="0"/>
    </xf>
    <xf numFmtId="0" fontId="36" fillId="8" borderId="11" xfId="0" applyFont="1" applyFill="1" applyBorder="1" applyProtection="1">
      <protection locked="0"/>
    </xf>
    <xf numFmtId="0" fontId="36" fillId="8" borderId="11" xfId="0" applyFont="1" applyFill="1" applyBorder="1" applyAlignment="1" applyProtection="1">
      <alignment horizontal="center"/>
      <protection locked="0"/>
    </xf>
    <xf numFmtId="0" fontId="36" fillId="8" borderId="96" xfId="0" applyFont="1" applyFill="1" applyBorder="1" applyProtection="1">
      <protection locked="0"/>
    </xf>
    <xf numFmtId="0" fontId="36" fillId="8" borderId="96" xfId="0" applyFont="1" applyFill="1" applyBorder="1" applyAlignment="1" applyProtection="1">
      <alignment horizontal="center"/>
      <protection locked="0"/>
    </xf>
    <xf numFmtId="0" fontId="0" fillId="8" borderId="96" xfId="0" applyFont="1" applyFill="1" applyBorder="1" applyAlignment="1" applyProtection="1">
      <alignment horizontal="center"/>
      <protection locked="0"/>
    </xf>
    <xf numFmtId="0" fontId="46" fillId="8" borderId="0" xfId="0" applyFont="1" applyFill="1" applyAlignment="1" applyProtection="1">
      <alignment vertical="center"/>
      <protection locked="0"/>
    </xf>
    <xf numFmtId="0" fontId="36" fillId="8" borderId="93" xfId="0" applyFont="1" applyFill="1" applyBorder="1" applyProtection="1">
      <protection locked="0"/>
    </xf>
    <xf numFmtId="0" fontId="36" fillId="8" borderId="93" xfId="0" applyFont="1" applyFill="1" applyBorder="1" applyAlignment="1" applyProtection="1">
      <alignment horizontal="center"/>
      <protection locked="0"/>
    </xf>
    <xf numFmtId="0" fontId="0" fillId="8" borderId="93" xfId="0" applyFont="1" applyFill="1" applyBorder="1" applyAlignment="1" applyProtection="1">
      <alignment horizontal="center"/>
      <protection locked="0"/>
    </xf>
    <xf numFmtId="1" fontId="0" fillId="8" borderId="93" xfId="0" applyNumberFormat="1" applyFont="1" applyFill="1" applyBorder="1" applyAlignment="1" applyProtection="1">
      <alignment horizontal="center"/>
      <protection locked="0"/>
    </xf>
    <xf numFmtId="0" fontId="9" fillId="8" borderId="16" xfId="0" applyFont="1" applyFill="1" applyBorder="1" applyAlignment="1" applyProtection="1">
      <alignment vertical="center"/>
    </xf>
    <xf numFmtId="3" fontId="4" fillId="10" borderId="0" xfId="0" applyNumberFormat="1" applyFont="1" applyFill="1" applyAlignment="1" applyProtection="1">
      <alignment horizontal="right"/>
    </xf>
    <xf numFmtId="3" fontId="4" fillId="10" borderId="0" xfId="0" quotePrefix="1" applyNumberFormat="1" applyFont="1" applyFill="1" applyAlignment="1" applyProtection="1">
      <alignment horizontal="right"/>
    </xf>
    <xf numFmtId="3" fontId="4" fillId="10" borderId="0" xfId="0" applyNumberFormat="1" applyFont="1" applyFill="1" applyAlignment="1" applyProtection="1">
      <alignment horizontal="left"/>
    </xf>
    <xf numFmtId="3" fontId="4" fillId="10" borderId="0" xfId="0" quotePrefix="1" applyNumberFormat="1" applyFont="1" applyFill="1" applyAlignment="1" applyProtection="1">
      <alignment horizontal="left" vertical="center"/>
    </xf>
    <xf numFmtId="174" fontId="35" fillId="2" borderId="32" xfId="1" applyNumberFormat="1" applyFont="1" applyFill="1" applyBorder="1" applyAlignment="1" applyProtection="1">
      <alignment horizontal="right"/>
    </xf>
    <xf numFmtId="0" fontId="36" fillId="20" borderId="11" xfId="0" applyNumberFormat="1" applyFont="1" applyFill="1" applyBorder="1" applyAlignment="1" applyProtection="1">
      <alignment horizontal="center" vertical="center"/>
      <protection locked="0"/>
    </xf>
    <xf numFmtId="0" fontId="36" fillId="20" borderId="0" xfId="0" applyNumberFormat="1" applyFont="1" applyFill="1" applyBorder="1" applyAlignment="1" applyProtection="1">
      <alignment horizontal="center" vertical="center"/>
      <protection locked="0"/>
    </xf>
    <xf numFmtId="0" fontId="36" fillId="20" borderId="10" xfId="0" applyNumberFormat="1" applyFont="1" applyFill="1" applyBorder="1" applyAlignment="1" applyProtection="1">
      <alignment horizontal="center" vertical="center"/>
      <protection locked="0"/>
    </xf>
    <xf numFmtId="0" fontId="46" fillId="11" borderId="99" xfId="0" applyFont="1" applyFill="1" applyBorder="1" applyAlignment="1">
      <alignment vertical="center" wrapText="1"/>
    </xf>
    <xf numFmtId="0" fontId="37" fillId="12" borderId="24" xfId="0" applyFont="1" applyFill="1" applyBorder="1" applyAlignment="1" applyProtection="1">
      <alignment horizontal="left"/>
      <protection locked="0"/>
    </xf>
    <xf numFmtId="49" fontId="37" fillId="12" borderId="24" xfId="0" applyNumberFormat="1" applyFont="1" applyFill="1" applyBorder="1" applyAlignment="1" applyProtection="1">
      <alignment horizontal="left"/>
      <protection locked="0"/>
    </xf>
    <xf numFmtId="0" fontId="0" fillId="12" borderId="0" xfId="0" applyFont="1" applyFill="1" applyAlignment="1" applyProtection="1">
      <alignment vertical="top"/>
      <protection locked="0"/>
    </xf>
    <xf numFmtId="0" fontId="52" fillId="12" borderId="0" xfId="0" applyFont="1" applyFill="1" applyAlignment="1" applyProtection="1">
      <alignment vertical="top"/>
      <protection locked="0"/>
    </xf>
    <xf numFmtId="0" fontId="0" fillId="12" borderId="0" xfId="0" applyFill="1" applyAlignment="1" applyProtection="1">
      <alignment vertical="top"/>
      <protection locked="0"/>
    </xf>
    <xf numFmtId="3" fontId="36" fillId="8" borderId="0" xfId="0" applyNumberFormat="1" applyFont="1" applyFill="1" applyBorder="1" applyAlignment="1">
      <alignment horizontal="center"/>
    </xf>
    <xf numFmtId="3" fontId="0" fillId="8" borderId="0" xfId="0" applyNumberFormat="1" applyFill="1" applyBorder="1" applyAlignment="1">
      <alignment horizontal="left"/>
    </xf>
    <xf numFmtId="3" fontId="0" fillId="8" borderId="0" xfId="0" applyNumberFormat="1" applyFill="1" applyBorder="1" applyAlignment="1">
      <alignment horizontal="center"/>
    </xf>
    <xf numFmtId="0" fontId="0" fillId="8" borderId="0" xfId="0" applyFill="1" applyBorder="1" applyAlignment="1">
      <alignment horizontal="center"/>
    </xf>
    <xf numFmtId="0" fontId="0" fillId="8" borderId="0" xfId="0" applyFill="1" applyBorder="1"/>
    <xf numFmtId="0" fontId="46" fillId="8" borderId="0" xfId="0" applyFont="1" applyFill="1" applyBorder="1"/>
    <xf numFmtId="0" fontId="46" fillId="8" borderId="0" xfId="0" applyFont="1" applyFill="1" applyBorder="1" applyAlignment="1">
      <alignment horizontal="center"/>
    </xf>
    <xf numFmtId="3" fontId="48" fillId="8" borderId="0" xfId="0" applyNumberFormat="1" applyFont="1" applyFill="1" applyBorder="1" applyAlignment="1">
      <alignment horizontal="center"/>
    </xf>
    <xf numFmtId="3" fontId="46" fillId="8" borderId="0" xfId="0" applyNumberFormat="1" applyFont="1" applyFill="1" applyBorder="1" applyAlignment="1">
      <alignment horizontal="center"/>
    </xf>
    <xf numFmtId="3" fontId="46" fillId="8" borderId="0" xfId="0" applyNumberFormat="1" applyFont="1" applyFill="1" applyBorder="1" applyAlignment="1">
      <alignment horizontal="left"/>
    </xf>
    <xf numFmtId="0" fontId="74" fillId="8" borderId="0" xfId="0" applyFont="1" applyFill="1" applyBorder="1" applyAlignment="1">
      <alignment horizontal="left"/>
    </xf>
    <xf numFmtId="0" fontId="74" fillId="8" borderId="0" xfId="0" applyFont="1" applyFill="1" applyBorder="1"/>
    <xf numFmtId="0" fontId="46" fillId="8" borderId="0" xfId="0" applyFont="1" applyFill="1" applyBorder="1" applyProtection="1"/>
    <xf numFmtId="0" fontId="46" fillId="8" borderId="0" xfId="0" applyFont="1" applyFill="1" applyBorder="1" applyAlignment="1" applyProtection="1">
      <alignment horizontal="center"/>
    </xf>
    <xf numFmtId="3" fontId="46" fillId="8" borderId="0" xfId="0" applyNumberFormat="1" applyFont="1" applyFill="1" applyBorder="1" applyAlignment="1" applyProtection="1">
      <alignment horizontal="center"/>
    </xf>
    <xf numFmtId="0" fontId="46" fillId="8" borderId="0" xfId="0" applyFont="1" applyFill="1" applyBorder="1" applyAlignment="1" applyProtection="1">
      <alignment horizontal="left"/>
    </xf>
    <xf numFmtId="3" fontId="48" fillId="8" borderId="0" xfId="0" applyNumberFormat="1" applyFont="1" applyFill="1" applyBorder="1" applyAlignment="1" applyProtection="1">
      <alignment horizontal="center"/>
    </xf>
    <xf numFmtId="3" fontId="46" fillId="8" borderId="0" xfId="0" applyNumberFormat="1" applyFont="1" applyFill="1" applyBorder="1" applyAlignment="1" applyProtection="1">
      <alignment horizontal="left"/>
    </xf>
    <xf numFmtId="0" fontId="74" fillId="8" borderId="0" xfId="0" applyFont="1" applyFill="1" applyBorder="1" applyAlignment="1" applyProtection="1">
      <alignment horizontal="left"/>
    </xf>
    <xf numFmtId="3" fontId="0" fillId="8" borderId="0" xfId="0" applyNumberFormat="1" applyFill="1" applyBorder="1" applyAlignment="1" applyProtection="1">
      <alignment horizontal="left"/>
    </xf>
    <xf numFmtId="0" fontId="74" fillId="8" borderId="0" xfId="0" applyFont="1" applyFill="1" applyBorder="1" applyProtection="1"/>
    <xf numFmtId="0" fontId="50" fillId="0" borderId="42" xfId="0" applyFont="1" applyBorder="1" applyAlignment="1" applyProtection="1">
      <alignment horizontal="center" vertical="center" wrapText="1"/>
    </xf>
    <xf numFmtId="0" fontId="50" fillId="0" borderId="43" xfId="0" applyFont="1" applyBorder="1" applyAlignment="1" applyProtection="1">
      <alignment horizontal="center" vertical="center" wrapText="1"/>
    </xf>
  </cellXfs>
  <cellStyles count="5">
    <cellStyle name="Comma" xfId="3" builtinId="3"/>
    <cellStyle name="Currency" xfId="1" builtinId="4"/>
    <cellStyle name="Hyperlink" xfId="4" builtinId="8"/>
    <cellStyle name="Normal" xfId="0" builtinId="0"/>
    <cellStyle name="Percent" xfId="2" builtinId="5"/>
  </cellStyles>
  <dxfs count="125">
    <dxf>
      <numFmt numFmtId="13" formatCode="0%"/>
      <fill>
        <patternFill>
          <bgColor rgb="FFFF0000"/>
        </patternFill>
      </fill>
    </dxf>
    <dxf>
      <font>
        <b/>
        <i val="0"/>
        <strike val="0"/>
        <condense val="0"/>
        <extend val="0"/>
        <outline val="0"/>
        <shadow val="0"/>
        <u val="none"/>
        <vertAlign val="baseline"/>
        <sz val="11"/>
        <color theme="0"/>
        <name val="Calibri"/>
        <family val="2"/>
        <scheme val="minor"/>
      </font>
      <numFmt numFmtId="171" formatCode="&quot;$&quot;#,##0"/>
      <fill>
        <patternFill patternType="solid">
          <fgColor indexed="64"/>
          <bgColor theme="1"/>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0"/>
        <name val="Calibri"/>
        <family val="2"/>
        <scheme val="minor"/>
      </font>
      <numFmt numFmtId="171" formatCode="&quot;$&quot;#,##0"/>
      <fill>
        <patternFill patternType="solid">
          <fgColor indexed="64"/>
          <bgColor theme="4" tint="-0.499984740745262"/>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0"/>
        <name val="Calibri"/>
        <family val="2"/>
        <scheme val="minor"/>
      </font>
      <numFmt numFmtId="171" formatCode="&quot;$&quot;#,##0"/>
      <fill>
        <patternFill patternType="solid">
          <fgColor indexed="64"/>
          <bgColor theme="4" tint="-0.499984740745262"/>
        </patternFill>
      </fill>
      <alignment horizontal="center" vertical="bottom" textRotation="0" wrapText="0" indent="0" justifyLastLine="0" shrinkToFit="0" readingOrder="0"/>
      <border diagonalUp="0" diagonalDown="0">
        <left style="thin">
          <color indexed="64"/>
        </left>
        <right/>
        <top/>
        <bottom/>
        <vertical/>
        <horizontal/>
      </border>
      <protection locked="0" hidden="0"/>
    </dxf>
    <dxf>
      <font>
        <b/>
        <i val="0"/>
        <strike val="0"/>
        <condense val="0"/>
        <extend val="0"/>
        <outline val="0"/>
        <shadow val="0"/>
        <u val="none"/>
        <vertAlign val="baseline"/>
        <sz val="11"/>
        <color theme="0"/>
        <name val="Calibri"/>
        <family val="2"/>
        <scheme val="minor"/>
      </font>
      <numFmt numFmtId="171" formatCode="&quot;$&quot;#,##0"/>
      <fill>
        <patternFill patternType="solid">
          <fgColor indexed="64"/>
          <bgColor theme="4" tint="-0.499984740745262"/>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0"/>
        <name val="Calibri"/>
        <family val="2"/>
        <scheme val="minor"/>
      </font>
      <numFmt numFmtId="171" formatCode="&quot;$&quot;#,##0"/>
      <fill>
        <patternFill patternType="solid">
          <fgColor indexed="64"/>
          <bgColor theme="4" tint="-0.499984740745262"/>
        </patternFill>
      </fill>
      <alignment horizontal="center" vertical="bottom" textRotation="0" wrapText="0" indent="0" justifyLastLine="0" shrinkToFit="0" readingOrder="0"/>
      <border diagonalUp="0" diagonalDown="0">
        <left style="thin">
          <color indexed="64"/>
        </left>
        <right/>
        <top/>
        <bottom/>
        <vertical/>
        <horizontal/>
      </border>
      <protection locked="0" hidden="0"/>
    </dxf>
    <dxf>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style="thin">
          <color indexed="64"/>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style="thin">
          <color indexed="64"/>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0"/>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style="thin">
          <color indexed="64"/>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numFmt numFmtId="3" formatCode="#,##0"/>
      <fill>
        <patternFill patternType="solid">
          <fgColor indexed="64"/>
          <bgColor theme="0"/>
        </patternFill>
      </fill>
      <alignment horizontal="center" vertical="bottom" textRotation="0" wrapText="0" indent="0" justifyLastLine="0" shrinkToFit="0" readingOrder="0"/>
      <protection locked="0" hidden="0"/>
    </dxf>
    <dxf>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style="thin">
          <color indexed="64"/>
        </right>
        <top style="thin">
          <color indexed="64"/>
        </top>
        <bottom/>
        <vertical/>
        <horizontal/>
      </border>
      <protection locked="0" hidden="0"/>
    </dxf>
    <dxf>
      <fill>
        <patternFill patternType="solid">
          <fgColor indexed="64"/>
          <bgColor rgb="FFFFFF99"/>
        </patternFill>
      </fill>
      <alignment horizontal="center" vertical="center" textRotation="0" wrapText="0" indent="0" justifyLastLine="0" shrinkToFit="0" readingOrder="0"/>
      <border diagonalUp="0" diagonalDown="0">
        <left/>
        <right/>
        <top style="thin">
          <color indexed="64"/>
        </top>
        <bottom/>
        <vertical/>
        <horizontal/>
      </border>
      <protection locked="0" hidden="0"/>
    </dxf>
    <dxf>
      <fill>
        <patternFill patternType="solid">
          <fgColor indexed="64"/>
          <bgColor rgb="FFFFFF99"/>
        </patternFill>
      </fill>
      <border diagonalUp="0" diagonalDown="0">
        <left/>
        <right/>
        <top style="thin">
          <color indexed="64"/>
        </top>
        <bottom/>
        <vertical/>
        <horizontal/>
      </border>
      <protection locked="0" hidden="0"/>
    </dxf>
    <dxf>
      <fill>
        <patternFill patternType="solid">
          <fgColor indexed="64"/>
          <bgColor rgb="FFFFFF99"/>
        </patternFill>
      </fill>
      <border diagonalUp="0" diagonalDown="0">
        <left/>
        <right/>
        <top style="thin">
          <color indexed="64"/>
        </top>
        <bottom/>
        <vertical/>
        <horizontal/>
      </border>
      <protection locked="0" hidden="0"/>
    </dxf>
    <dxf>
      <border outline="0">
        <left style="thin">
          <color indexed="64"/>
        </left>
        <right style="thin">
          <color indexed="64"/>
        </right>
      </border>
    </dxf>
    <dxf>
      <font>
        <b/>
        <i val="0"/>
        <strike val="0"/>
        <condense val="0"/>
        <extend val="0"/>
        <outline val="0"/>
        <shadow val="0"/>
        <u val="none"/>
        <vertAlign val="baseline"/>
        <sz val="11"/>
        <color theme="0"/>
        <name val="Calibri"/>
        <family val="2"/>
        <scheme val="minor"/>
      </font>
      <numFmt numFmtId="171" formatCode="&quot;$&quot;#,##0"/>
      <fill>
        <patternFill patternType="solid">
          <fgColor indexed="64"/>
          <bgColor theme="4" tint="-0.499984740745262"/>
        </patternFill>
      </fill>
      <alignment horizontal="center" vertical="bottom" textRotation="0" wrapText="0" indent="0" justifyLastLine="0" shrinkToFit="0" readingOrder="0"/>
      <border diagonalUp="0" diagonalDown="0">
        <left style="medium">
          <color indexed="64"/>
        </left>
        <right/>
        <top/>
        <bottom/>
        <vertical/>
        <horizontal/>
      </border>
      <protection locked="0" hidden="0"/>
    </dxf>
    <dxf>
      <font>
        <b/>
        <i val="0"/>
        <strike val="0"/>
        <condense val="0"/>
        <extend val="0"/>
        <outline val="0"/>
        <shadow val="0"/>
        <u val="none"/>
        <vertAlign val="baseline"/>
        <sz val="11"/>
        <color theme="0"/>
        <name val="Calibri"/>
        <family val="2"/>
        <scheme val="minor"/>
      </font>
      <numFmt numFmtId="171" formatCode="&quot;$&quot;#,##0"/>
      <fill>
        <patternFill patternType="solid">
          <fgColor indexed="64"/>
          <bgColor theme="4" tint="-0.499984740745262"/>
        </patternFill>
      </fill>
      <alignment horizontal="center" vertical="bottom"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thin">
          <color indexed="64"/>
        </left>
        <right/>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center"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border diagonalUp="0" diagonalDown="0">
        <left/>
        <right/>
        <top style="thin">
          <color indexed="64"/>
        </top>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border diagonalUp="0" diagonalDown="0">
        <left/>
        <right/>
        <top style="thin">
          <color indexed="64"/>
        </top>
        <bottom/>
        <vertical/>
        <horizontal/>
      </border>
      <protection locked="0" hidden="0"/>
    </dxf>
    <dxf>
      <border outline="0">
        <left style="thin">
          <color indexed="64"/>
        </left>
        <right style="thin">
          <color indexed="64"/>
        </right>
      </border>
    </dxf>
    <dxf>
      <protection locked="0" hidden="0"/>
    </dxf>
    <dxf>
      <protection locked="0" hidden="0"/>
    </dxf>
    <dxf>
      <font>
        <b/>
        <i val="0"/>
        <strike val="0"/>
        <condense val="0"/>
        <extend val="0"/>
        <outline val="0"/>
        <shadow val="0"/>
        <u val="none"/>
        <vertAlign val="baseline"/>
        <sz val="11"/>
        <color theme="0"/>
        <name val="Calibri"/>
        <family val="2"/>
        <scheme val="minor"/>
      </font>
      <numFmt numFmtId="9" formatCode="&quot;$&quot;#,##0_);\(&quot;$&quot;#,##0\)"/>
      <fill>
        <patternFill patternType="solid">
          <fgColor indexed="64"/>
          <bgColor theme="1"/>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0"/>
        <name val="Calibri"/>
        <family val="2"/>
        <scheme val="minor"/>
      </font>
      <numFmt numFmtId="1" formatCode="0"/>
      <fill>
        <patternFill patternType="solid">
          <fgColor indexed="64"/>
          <bgColor theme="4" tint="-0.499984740745262"/>
        </patternFill>
      </fill>
      <alignment horizontal="center" vertical="bottom" textRotation="0" wrapText="0" indent="0" justifyLastLine="0" shrinkToFit="0" readingOrder="0"/>
      <border diagonalUp="0" diagonalDown="0">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protection locked="0" hidden="0"/>
    </dxf>
    <dxf>
      <font>
        <b/>
        <i val="0"/>
        <strike val="0"/>
        <condense val="0"/>
        <extend val="0"/>
        <outline val="0"/>
        <shadow val="0"/>
        <u val="none"/>
        <vertAlign val="baseline"/>
        <sz val="11"/>
        <color theme="0"/>
        <name val="Calibri"/>
        <family val="2"/>
        <scheme val="minor"/>
      </font>
      <numFmt numFmtId="165" formatCode="0.0"/>
      <fill>
        <patternFill patternType="solid">
          <fgColor indexed="64"/>
          <bgColor theme="4" tint="-0.499984740745262"/>
        </patternFill>
      </fill>
      <alignment horizontal="center" vertical="bottom" textRotation="0" wrapText="0" indent="0" justifyLastLine="0" shrinkToFit="0" readingOrder="0"/>
      <border diagonalUp="0" diagonalDown="0">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protection locked="0" hidden="0"/>
    </dxf>
    <dxf>
      <font>
        <b/>
        <i val="0"/>
        <strike val="0"/>
        <condense val="0"/>
        <extend val="0"/>
        <outline val="0"/>
        <shadow val="0"/>
        <u val="none"/>
        <vertAlign val="baseline"/>
        <sz val="11"/>
        <color theme="0"/>
        <name val="Calibri"/>
        <family val="2"/>
        <scheme val="minor"/>
      </font>
      <fill>
        <patternFill patternType="solid">
          <fgColor indexed="64"/>
          <bgColor theme="4" tint="-0.499984740745262"/>
        </patternFill>
      </fill>
      <alignment horizontal="center" vertical="bottom" textRotation="0" wrapText="0" indent="0" justifyLastLine="0" shrinkToFit="0" readingOrder="0"/>
      <border diagonalUp="0" diagonalDown="0">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top/>
        <bottom/>
        <vertical/>
        <horizontal/>
      </border>
      <protection locked="0" hidden="0"/>
    </dxf>
    <dxf>
      <font>
        <b/>
        <i/>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border>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auto="1"/>
        <name val="Calibri"/>
        <family val="2"/>
        <scheme val="minor"/>
      </font>
      <numFmt numFmtId="5" formatCode="#,##0_);\(#,##0\)"/>
      <fill>
        <patternFill patternType="solid">
          <fgColor indexed="64"/>
          <bgColor rgb="FFFFFF99"/>
        </patternFill>
      </fill>
      <alignment horizontal="center"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0" hidden="0"/>
    </dxf>
    <dxf>
      <font>
        <b val="0"/>
        <i val="0"/>
        <strike val="0"/>
        <condense val="0"/>
        <extend val="0"/>
        <outline val="0"/>
        <shadow val="0"/>
        <u/>
        <vertAlign val="baseline"/>
        <sz val="11"/>
        <color auto="1"/>
        <name val="Calibri"/>
        <family val="2"/>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border>
      <protection locked="0" hidden="0"/>
    </dxf>
    <dxf>
      <font>
        <b val="0"/>
        <i val="0"/>
        <strike val="0"/>
        <condense val="0"/>
        <extend val="0"/>
        <outline val="0"/>
        <shadow val="0"/>
        <u val="none"/>
        <vertAlign val="baseline"/>
        <sz val="11"/>
        <color theme="1"/>
        <name val="Calibri"/>
        <family val="2"/>
        <scheme val="minor"/>
      </font>
      <numFmt numFmtId="167" formatCode="_(* #,##0_);_(* \(#,##0\);_(* &quot;-&quot;??_);_(@_)"/>
      <fill>
        <patternFill patternType="solid">
          <fgColor indexed="64"/>
          <bgColor theme="0" tint="-0.1499984740745262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indexed="64"/>
          <bgColor theme="0" tint="-0.1499984740745262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72" formatCode="[$-409]mmm\-yy;@"/>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5" formatCode="#,##0_);\(#,##0\)"/>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9"/>
        <name val="Calibri"/>
        <family val="2"/>
        <scheme val="minor"/>
      </font>
      <numFmt numFmtId="172" formatCode="[$-409]mmm\-yy;@"/>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2" tint="-9.9978637043366805E-2"/>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rgb="FFFFFF99"/>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99"/>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theme="4" tint="-0.499984740745262"/>
        </right>
        <top/>
        <bottom/>
        <vertical/>
        <horizontal/>
      </border>
      <protection locked="0" hidden="0"/>
    </dxf>
    <dxf>
      <border outline="0">
        <left style="thin">
          <color indexed="64"/>
        </left>
      </border>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bgColor rgb="FFFFFEAC"/>
        </patternFill>
      </fill>
    </dxf>
    <dxf>
      <fill>
        <patternFill patternType="lightUp">
          <fgColor theme="1" tint="0.499984740745262"/>
          <bgColor theme="0" tint="-0.24994659260841701"/>
        </patternFill>
      </fill>
    </dxf>
    <dxf>
      <font>
        <b/>
        <i val="0"/>
        <color rgb="FF002060"/>
      </font>
    </dxf>
    <dxf>
      <font>
        <b/>
        <i val="0"/>
        <color rgb="FF002060"/>
      </font>
    </dxf>
  </dxfs>
  <tableStyles count="0" defaultTableStyle="TableStyleMedium2" defaultPivotStyle="PivotStyleLight16"/>
  <colors>
    <mruColors>
      <color rgb="FFFFFF99"/>
      <color rgb="FF996633"/>
      <color rgb="FFC5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en-US"/>
        </a:p>
      </c:txPr>
    </c:title>
    <c:autoTitleDeleted val="0"/>
    <c:plotArea>
      <c:layout/>
      <c:scatterChart>
        <c:scatterStyle val="lineMarker"/>
        <c:varyColors val="0"/>
        <c:ser>
          <c:idx val="0"/>
          <c:order val="0"/>
          <c:tx>
            <c:strRef>
              <c:f>'Well P&amp;A Background'!$C$14</c:f>
              <c:strCache>
                <c:ptCount val="1"/>
                <c:pt idx="0">
                  <c:v>Multiplier</c:v>
                </c:pt>
              </c:strCache>
            </c:strRef>
          </c:tx>
          <c:spPr>
            <a:ln w="34925">
              <a:solidFill>
                <a:schemeClr val="tx1"/>
              </a:solidFill>
            </a:ln>
            <a:effectLst/>
          </c:spPr>
          <c:marker>
            <c:symbol val="x"/>
            <c:size val="3"/>
            <c:spPr>
              <a:noFill/>
              <a:ln w="9525" cap="flat" cmpd="sng" algn="ctr">
                <a:solidFill>
                  <a:schemeClr val="accent1"/>
                </a:solidFill>
                <a:round/>
              </a:ln>
              <a:effectLst/>
            </c:spPr>
          </c:marker>
          <c:xVal>
            <c:numRef>
              <c:f>'Well P&amp;A Background'!$B$16:$B$100</c:f>
              <c:numCache>
                <c:formatCode>General</c:formatCode>
                <c:ptCount val="8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numCache>
            </c:numRef>
          </c:xVal>
          <c:yVal>
            <c:numRef>
              <c:f>'Well P&amp;A Background'!$C$16:$C$100</c:f>
              <c:numCache>
                <c:formatCode>0.00</c:formatCode>
                <c:ptCount val="85"/>
                <c:pt idx="0">
                  <c:v>1</c:v>
                </c:pt>
                <c:pt idx="1">
                  <c:v>1</c:v>
                </c:pt>
                <c:pt idx="2">
                  <c:v>1</c:v>
                </c:pt>
                <c:pt idx="3">
                  <c:v>1</c:v>
                </c:pt>
                <c:pt idx="4">
                  <c:v>1</c:v>
                </c:pt>
                <c:pt idx="5">
                  <c:v>1</c:v>
                </c:pt>
                <c:pt idx="6">
                  <c:v>1</c:v>
                </c:pt>
                <c:pt idx="7">
                  <c:v>1</c:v>
                </c:pt>
                <c:pt idx="8">
                  <c:v>1</c:v>
                </c:pt>
                <c:pt idx="9">
                  <c:v>1</c:v>
                </c:pt>
                <c:pt idx="10">
                  <c:v>1.0125</c:v>
                </c:pt>
                <c:pt idx="11">
                  <c:v>1.0249999999999999</c:v>
                </c:pt>
                <c:pt idx="12">
                  <c:v>1.0375000000000001</c:v>
                </c:pt>
                <c:pt idx="13">
                  <c:v>1.05</c:v>
                </c:pt>
                <c:pt idx="14">
                  <c:v>1.0625</c:v>
                </c:pt>
                <c:pt idx="15">
                  <c:v>1.075</c:v>
                </c:pt>
                <c:pt idx="16">
                  <c:v>1.0874999999999999</c:v>
                </c:pt>
                <c:pt idx="17">
                  <c:v>1.1000000000000001</c:v>
                </c:pt>
                <c:pt idx="18">
                  <c:v>1.1125</c:v>
                </c:pt>
                <c:pt idx="19">
                  <c:v>1.125</c:v>
                </c:pt>
                <c:pt idx="20">
                  <c:v>1.1375</c:v>
                </c:pt>
                <c:pt idx="21">
                  <c:v>1.1499999999999999</c:v>
                </c:pt>
                <c:pt idx="22">
                  <c:v>1.1625000000000001</c:v>
                </c:pt>
                <c:pt idx="23">
                  <c:v>1.175</c:v>
                </c:pt>
                <c:pt idx="24">
                  <c:v>1.1875</c:v>
                </c:pt>
                <c:pt idx="25">
                  <c:v>1.2</c:v>
                </c:pt>
                <c:pt idx="26">
                  <c:v>1.2124999999999999</c:v>
                </c:pt>
                <c:pt idx="27">
                  <c:v>1.2250000000000001</c:v>
                </c:pt>
                <c:pt idx="28">
                  <c:v>1.2375</c:v>
                </c:pt>
                <c:pt idx="29">
                  <c:v>1.25</c:v>
                </c:pt>
                <c:pt idx="30">
                  <c:v>1.2625</c:v>
                </c:pt>
                <c:pt idx="31">
                  <c:v>1.2749999999999999</c:v>
                </c:pt>
                <c:pt idx="32">
                  <c:v>1.2875000000000001</c:v>
                </c:pt>
                <c:pt idx="33">
                  <c:v>1.3</c:v>
                </c:pt>
                <c:pt idx="34">
                  <c:v>1.3125</c:v>
                </c:pt>
                <c:pt idx="35">
                  <c:v>1.325</c:v>
                </c:pt>
                <c:pt idx="36">
                  <c:v>1.3374999999999999</c:v>
                </c:pt>
                <c:pt idx="37">
                  <c:v>1.35</c:v>
                </c:pt>
                <c:pt idx="38">
                  <c:v>1.3625</c:v>
                </c:pt>
                <c:pt idx="39">
                  <c:v>1.375</c:v>
                </c:pt>
                <c:pt idx="40">
                  <c:v>1.3875</c:v>
                </c:pt>
                <c:pt idx="41">
                  <c:v>1.4</c:v>
                </c:pt>
                <c:pt idx="42">
                  <c:v>1.4125000000000001</c:v>
                </c:pt>
                <c:pt idx="43">
                  <c:v>1.425</c:v>
                </c:pt>
                <c:pt idx="44">
                  <c:v>1.4375</c:v>
                </c:pt>
                <c:pt idx="45">
                  <c:v>1.45</c:v>
                </c:pt>
                <c:pt idx="46">
                  <c:v>1.4624999999999999</c:v>
                </c:pt>
                <c:pt idx="47">
                  <c:v>1.4750000000000001</c:v>
                </c:pt>
                <c:pt idx="48">
                  <c:v>1.4875</c:v>
                </c:pt>
                <c:pt idx="49">
                  <c:v>1.5</c:v>
                </c:pt>
                <c:pt idx="50">
                  <c:v>1.5249999999999999</c:v>
                </c:pt>
                <c:pt idx="51">
                  <c:v>1.55</c:v>
                </c:pt>
                <c:pt idx="52">
                  <c:v>1.575</c:v>
                </c:pt>
                <c:pt idx="53">
                  <c:v>1.6</c:v>
                </c:pt>
                <c:pt idx="54">
                  <c:v>1.625</c:v>
                </c:pt>
                <c:pt idx="55">
                  <c:v>1.65</c:v>
                </c:pt>
                <c:pt idx="56">
                  <c:v>1.675</c:v>
                </c:pt>
                <c:pt idx="57">
                  <c:v>1.7</c:v>
                </c:pt>
                <c:pt idx="58">
                  <c:v>1.7250000000000001</c:v>
                </c:pt>
                <c:pt idx="59">
                  <c:v>1.75</c:v>
                </c:pt>
                <c:pt idx="60">
                  <c:v>1.7749999999999999</c:v>
                </c:pt>
                <c:pt idx="61">
                  <c:v>1.8</c:v>
                </c:pt>
                <c:pt idx="62">
                  <c:v>1.825</c:v>
                </c:pt>
                <c:pt idx="63">
                  <c:v>1.85</c:v>
                </c:pt>
                <c:pt idx="64">
                  <c:v>1.875</c:v>
                </c:pt>
                <c:pt idx="65">
                  <c:v>1.9</c:v>
                </c:pt>
                <c:pt idx="66">
                  <c:v>1.925</c:v>
                </c:pt>
                <c:pt idx="67">
                  <c:v>1.95</c:v>
                </c:pt>
                <c:pt idx="68">
                  <c:v>1.9750000000000001</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numCache>
            </c:numRef>
          </c:yVal>
          <c:smooth val="0"/>
          <c:extLst>
            <c:ext xmlns:c16="http://schemas.microsoft.com/office/drawing/2014/chart" uri="{C3380CC4-5D6E-409C-BE32-E72D297353CC}">
              <c16:uniqueId val="{00000000-52B7-44D5-BA09-E7535934E265}"/>
            </c:ext>
          </c:extLst>
        </c:ser>
        <c:dLbls>
          <c:showLegendKey val="0"/>
          <c:showVal val="0"/>
          <c:showCatName val="0"/>
          <c:showSerName val="0"/>
          <c:showPercent val="0"/>
          <c:showBubbleSize val="0"/>
        </c:dLbls>
        <c:axId val="671167632"/>
        <c:axId val="671164752"/>
      </c:scatterChart>
      <c:valAx>
        <c:axId val="671167632"/>
        <c:scaling>
          <c:orientation val="minMax"/>
          <c:max val="90"/>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000">
                    <a:solidFill>
                      <a:sysClr val="windowText" lastClr="000000"/>
                    </a:solidFill>
                  </a:rPr>
                  <a:t>Aggregated</a:t>
                </a:r>
                <a:r>
                  <a:rPr lang="en-US" sz="1000" baseline="0">
                    <a:solidFill>
                      <a:sysClr val="windowText" lastClr="000000"/>
                    </a:solidFill>
                  </a:rPr>
                  <a:t> Well Score (AWS)</a:t>
                </a:r>
                <a:endParaRPr lang="en-US" sz="1000">
                  <a:solidFill>
                    <a:sysClr val="windowText" lastClr="000000"/>
                  </a:solidFill>
                </a:endParaRPr>
              </a:p>
            </c:rich>
          </c:tx>
          <c:layout>
            <c:manualLayout>
              <c:xMode val="edge"/>
              <c:yMode val="edge"/>
              <c:x val="0.39102141041796135"/>
              <c:y val="0.9286380105574968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671164752"/>
        <c:crosses val="autoZero"/>
        <c:crossBetween val="midCat"/>
      </c:valAx>
      <c:valAx>
        <c:axId val="671164752"/>
        <c:scaling>
          <c:orientation val="minMax"/>
          <c:max val="2.5"/>
          <c:min val="0.5"/>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dk1">
                        <a:lumMod val="50000"/>
                        <a:lumOff val="50000"/>
                      </a:schemeClr>
                    </a:solidFill>
                    <a:latin typeface="+mn-lt"/>
                    <a:ea typeface="+mn-ea"/>
                    <a:cs typeface="+mn-cs"/>
                  </a:defRPr>
                </a:pPr>
                <a:r>
                  <a:rPr lang="en-US" sz="1000"/>
                  <a:t>Well</a:t>
                </a:r>
                <a:r>
                  <a:rPr lang="en-US" sz="1000" baseline="0"/>
                  <a:t> Score Multiplier</a:t>
                </a:r>
                <a:endParaRPr lang="en-US" sz="1000"/>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dk1">
                      <a:lumMod val="50000"/>
                      <a:lumOff val="50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dk1">
                    <a:lumMod val="50000"/>
                    <a:lumOff val="50000"/>
                  </a:schemeClr>
                </a:solidFill>
                <a:latin typeface="+mn-lt"/>
                <a:ea typeface="+mn-ea"/>
                <a:cs typeface="+mn-cs"/>
              </a:defRPr>
            </a:pPr>
            <a:endParaRPr lang="en-US"/>
          </a:p>
        </c:txPr>
        <c:crossAx val="671167632"/>
        <c:crosses val="autoZero"/>
        <c:crossBetween val="midCat"/>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23812</xdr:colOff>
      <xdr:row>5</xdr:row>
      <xdr:rowOff>1587</xdr:rowOff>
    </xdr:from>
    <xdr:to>
      <xdr:col>2</xdr:col>
      <xdr:colOff>4131469</xdr:colOff>
      <xdr:row>30</xdr:row>
      <xdr:rowOff>23812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0" y="1239837"/>
          <a:ext cx="4405313" cy="6796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400" b="1" i="0">
              <a:solidFill>
                <a:schemeClr val="dk1"/>
              </a:solidFill>
              <a:effectLst/>
              <a:latin typeface="Century Gothic" panose="020B0502020202020204" pitchFamily="34" charset="0"/>
              <a:ea typeface="+mn-ea"/>
              <a:cs typeface="+mn-cs"/>
            </a:rPr>
            <a:t>CalGEM SB 551 Cost Estimate Regulations</a:t>
          </a:r>
          <a:r>
            <a:rPr lang="en-US" sz="1400" b="0" i="0">
              <a:solidFill>
                <a:schemeClr val="dk1"/>
              </a:solidFill>
              <a:effectLst/>
              <a:latin typeface="Century Gothic" panose="020B0502020202020204" pitchFamily="34" charset="0"/>
              <a:ea typeface="+mn-ea"/>
              <a:cs typeface="+mn-cs"/>
            </a:rPr>
            <a:t> </a:t>
          </a:r>
        </a:p>
        <a:p>
          <a:pPr rtl="0" fontAlgn="base"/>
          <a:r>
            <a:rPr lang="en-US" sz="1200" b="0" i="0">
              <a:solidFill>
                <a:schemeClr val="dk1"/>
              </a:solidFill>
              <a:effectLst/>
              <a:latin typeface="Century Gothic" panose="020B0502020202020204" pitchFamily="34" charset="0"/>
              <a:ea typeface="+mn-ea"/>
              <a:cs typeface="+mn-cs"/>
            </a:rPr>
            <a:t> </a:t>
          </a:r>
        </a:p>
        <a:p>
          <a:pPr algn="just" rtl="0" fontAlgn="base"/>
          <a:r>
            <a:rPr lang="en-US" sz="1200" b="0" i="0">
              <a:solidFill>
                <a:schemeClr val="dk1"/>
              </a:solidFill>
              <a:effectLst/>
              <a:latin typeface="Century Gothic" panose="020B0502020202020204" pitchFamily="34" charset="0"/>
              <a:ea typeface="+mn-ea"/>
              <a:cs typeface="+mn-cs"/>
            </a:rPr>
            <a:t>Senate Bill SB 551 (2019, Public Resources Code 3205.7) requires operators of oil and gas wells to submit cost estimates to CalGEM for the total cost of plugging and abandonment for each of their wells, the decommissioning of all attendant facilities, and the site remediation that is needed to restore each site as required by existing regulations.  CalGEM is required to set criteria for the way these cost estimates will be calculated and has developed a set of regulations for this purpose.   </a:t>
          </a:r>
        </a:p>
        <a:p>
          <a:pPr algn="just" rtl="0" fontAlgn="base"/>
          <a:r>
            <a:rPr lang="en-US" sz="1200" b="0" i="0">
              <a:solidFill>
                <a:schemeClr val="dk1"/>
              </a:solidFill>
              <a:effectLst/>
              <a:latin typeface="Century Gothic" panose="020B0502020202020204" pitchFamily="34" charset="0"/>
              <a:ea typeface="+mn-ea"/>
              <a:cs typeface="+mn-cs"/>
            </a:rPr>
            <a:t> </a:t>
          </a:r>
        </a:p>
        <a:p>
          <a:pPr marL="0" marR="0" lvl="0" indent="0" algn="just" defTabSz="914400" rtl="0" eaLnBrk="1" fontAlgn="base" latinLnBrk="0" hangingPunct="1">
            <a:lnSpc>
              <a:spcPct val="100000"/>
            </a:lnSpc>
            <a:spcBef>
              <a:spcPts val="0"/>
            </a:spcBef>
            <a:spcAft>
              <a:spcPts val="0"/>
            </a:spcAft>
            <a:buClrTx/>
            <a:buSzTx/>
            <a:buFontTx/>
            <a:buNone/>
            <a:tabLst/>
            <a:defRPr/>
          </a:pPr>
          <a:r>
            <a:rPr lang="en-US" sz="1200" b="0" i="0">
              <a:solidFill>
                <a:schemeClr val="dk1"/>
              </a:solidFill>
              <a:effectLst/>
              <a:latin typeface="Century Gothic" panose="020B0502020202020204" pitchFamily="34" charset="0"/>
              <a:ea typeface="+mn-ea"/>
              <a:cs typeface="+mn-cs"/>
            </a:rPr>
            <a:t>Two methods have been developed for operators to generate their cost</a:t>
          </a:r>
          <a:r>
            <a:rPr lang="en-US" sz="1200" b="0" i="0" baseline="0">
              <a:solidFill>
                <a:schemeClr val="dk1"/>
              </a:solidFill>
              <a:effectLst/>
              <a:latin typeface="Century Gothic" panose="020B0502020202020204" pitchFamily="34" charset="0"/>
              <a:ea typeface="+mn-ea"/>
              <a:cs typeface="+mn-cs"/>
            </a:rPr>
            <a:t> estimates </a:t>
          </a:r>
          <a:r>
            <a:rPr lang="en-US" sz="1200" b="0" i="0">
              <a:solidFill>
                <a:schemeClr val="dk1"/>
              </a:solidFill>
              <a:effectLst/>
              <a:latin typeface="Century Gothic" panose="020B0502020202020204" pitchFamily="34" charset="0"/>
              <a:ea typeface="+mn-ea"/>
              <a:cs typeface="+mn-cs"/>
            </a:rPr>
            <a:t>and are described in the</a:t>
          </a:r>
          <a:r>
            <a:rPr lang="en-US" sz="1200" b="0" i="0" baseline="0">
              <a:solidFill>
                <a:schemeClr val="dk1"/>
              </a:solidFill>
              <a:effectLst/>
              <a:latin typeface="Century Gothic" panose="020B0502020202020204" pitchFamily="34" charset="0"/>
              <a:ea typeface="+mn-ea"/>
              <a:cs typeface="+mn-cs"/>
            </a:rPr>
            <a:t> regulation documents</a:t>
          </a:r>
          <a:r>
            <a:rPr lang="en-US" sz="1200" b="0" i="0">
              <a:solidFill>
                <a:schemeClr val="dk1"/>
              </a:solidFill>
              <a:effectLst/>
              <a:latin typeface="Century Gothic" panose="020B0502020202020204" pitchFamily="34" charset="0"/>
              <a:ea typeface="+mn-ea"/>
              <a:cs typeface="+mn-cs"/>
            </a:rPr>
            <a:t>.  </a:t>
          </a:r>
        </a:p>
        <a:p>
          <a:pPr marL="0" marR="0" lvl="0" indent="0" algn="just" defTabSz="914400" rtl="0" eaLnBrk="1" fontAlgn="base" latinLnBrk="0" hangingPunct="1">
            <a:lnSpc>
              <a:spcPct val="100000"/>
            </a:lnSpc>
            <a:spcBef>
              <a:spcPts val="0"/>
            </a:spcBef>
            <a:spcAft>
              <a:spcPts val="0"/>
            </a:spcAft>
            <a:buClrTx/>
            <a:buSzTx/>
            <a:buFontTx/>
            <a:buNone/>
            <a:tabLst/>
            <a:defRPr/>
          </a:pPr>
          <a:endParaRPr lang="en-US" sz="1200" b="0" i="0">
            <a:solidFill>
              <a:schemeClr val="dk1"/>
            </a:solidFill>
            <a:effectLst/>
            <a:latin typeface="Century Gothic" panose="020B0502020202020204" pitchFamily="34" charset="0"/>
            <a:ea typeface="+mn-ea"/>
            <a:cs typeface="+mn-cs"/>
          </a:endParaRPr>
        </a:p>
        <a:p>
          <a:pPr marL="171450" marR="0" lvl="0" indent="-171450" algn="just"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US" sz="1200" b="1" i="0">
              <a:solidFill>
                <a:schemeClr val="dk1"/>
              </a:solidFill>
              <a:effectLst/>
              <a:latin typeface="Century Gothic" panose="020B0502020202020204" pitchFamily="34" charset="0"/>
              <a:ea typeface="+mn-ea"/>
              <a:cs typeface="+mn-cs"/>
            </a:rPr>
            <a:t>Method I </a:t>
          </a:r>
          <a:r>
            <a:rPr lang="en-US" sz="1200" b="0" i="0">
              <a:solidFill>
                <a:schemeClr val="dk1"/>
              </a:solidFill>
              <a:effectLst/>
              <a:latin typeface="Century Gothic" panose="020B0502020202020204" pitchFamily="34" charset="0"/>
              <a:ea typeface="+mn-ea"/>
              <a:cs typeface="+mn-cs"/>
            </a:rPr>
            <a:t>- Uses </a:t>
          </a:r>
          <a:r>
            <a:rPr lang="en-US" sz="1200" b="0" i="0" baseline="0">
              <a:solidFill>
                <a:schemeClr val="dk1"/>
              </a:solidFill>
              <a:effectLst/>
              <a:latin typeface="Century Gothic" panose="020B0502020202020204" pitchFamily="34" charset="0"/>
              <a:ea typeface="+mn-ea"/>
              <a:cs typeface="+mn-cs"/>
            </a:rPr>
            <a:t>baseline estimates provided by CalGEM</a:t>
          </a:r>
        </a:p>
        <a:p>
          <a:pPr marL="171450" marR="0" lvl="0" indent="-171450" algn="just"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US" sz="1200" b="1" i="0" baseline="0">
              <a:solidFill>
                <a:schemeClr val="dk1"/>
              </a:solidFill>
              <a:effectLst/>
              <a:latin typeface="Century Gothic" panose="020B0502020202020204" pitchFamily="34" charset="0"/>
              <a:ea typeface="+mn-ea"/>
              <a:cs typeface="+mn-cs"/>
            </a:rPr>
            <a:t>Method II </a:t>
          </a:r>
          <a:r>
            <a:rPr lang="en-US" sz="1200" b="0" i="0" baseline="0">
              <a:solidFill>
                <a:schemeClr val="dk1"/>
              </a:solidFill>
              <a:effectLst/>
              <a:latin typeface="Century Gothic" panose="020B0502020202020204" pitchFamily="34" charset="0"/>
              <a:ea typeface="+mn-ea"/>
              <a:cs typeface="+mn-cs"/>
            </a:rPr>
            <a:t>- Based on Operator generated estimates</a:t>
          </a:r>
        </a:p>
        <a:p>
          <a:pPr algn="just" rtl="0" fontAlgn="base"/>
          <a:endParaRPr lang="en-US" sz="1200" b="0" i="0">
            <a:solidFill>
              <a:schemeClr val="dk1"/>
            </a:solidFill>
            <a:effectLst/>
            <a:latin typeface="Century Gothic" panose="020B0502020202020204" pitchFamily="34" charset="0"/>
            <a:ea typeface="+mn-ea"/>
            <a:cs typeface="+mn-cs"/>
          </a:endParaRPr>
        </a:p>
        <a:p>
          <a:pPr algn="just" rtl="0" fontAlgn="base"/>
          <a:r>
            <a:rPr lang="en-US" sz="1200" b="0" i="0">
              <a:solidFill>
                <a:schemeClr val="dk1"/>
              </a:solidFill>
              <a:effectLst/>
              <a:latin typeface="Century Gothic" panose="020B0502020202020204" pitchFamily="34" charset="0"/>
              <a:ea typeface="+mn-ea"/>
              <a:cs typeface="+mn-cs"/>
            </a:rPr>
            <a:t>This</a:t>
          </a:r>
          <a:r>
            <a:rPr lang="en-US" sz="1200" b="0" i="0" baseline="0">
              <a:solidFill>
                <a:schemeClr val="dk1"/>
              </a:solidFill>
              <a:effectLst/>
              <a:latin typeface="Century Gothic" panose="020B0502020202020204" pitchFamily="34" charset="0"/>
              <a:ea typeface="+mn-ea"/>
              <a:cs typeface="+mn-cs"/>
            </a:rPr>
            <a:t> template has been developed to serve as a resource for the operators in developing thieir estimate using Method 1.</a:t>
          </a:r>
        </a:p>
        <a:p>
          <a:pPr algn="just" rtl="0" fontAlgn="base"/>
          <a:r>
            <a:rPr lang="en-US" sz="1200" b="0" i="0">
              <a:solidFill>
                <a:schemeClr val="dk1"/>
              </a:solidFill>
              <a:effectLst/>
              <a:latin typeface="Century Gothic" panose="020B0502020202020204" pitchFamily="34" charset="0"/>
              <a:ea typeface="+mn-ea"/>
              <a:cs typeface="+mn-cs"/>
            </a:rPr>
            <a:t> </a:t>
          </a:r>
        </a:p>
        <a:p>
          <a:pPr marL="0" marR="0" lvl="0" indent="0" algn="just" defTabSz="914400" rtl="0" eaLnBrk="1" fontAlgn="base"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All interested persons are encouraged to evaluate the methods, provide suggestions for improvements, or suggest alternative methods, by providing written comments to:</a:t>
          </a:r>
        </a:p>
        <a:p>
          <a:pPr marL="0" marR="0" lvl="0" indent="0" algn="just" defTabSz="914400" rtl="0" eaLnBrk="1" fontAlgn="base" latinLnBrk="0" hangingPunct="1">
            <a:lnSpc>
              <a:spcPct val="100000"/>
            </a:lnSpc>
            <a:spcBef>
              <a:spcPts val="0"/>
            </a:spcBef>
            <a:spcAft>
              <a:spcPts val="0"/>
            </a:spcAft>
            <a:buClrTx/>
            <a:buSzTx/>
            <a:buFontTx/>
            <a:buNone/>
            <a:tabLst/>
            <a:defRPr/>
          </a:pPr>
          <a:r>
            <a:rPr kumimoji="0" lang="en-US" sz="1200" b="0" i="0" u="sng" strike="noStrike" kern="0" cap="none" spc="0" normalizeH="0" baseline="0" noProof="0">
              <a:ln>
                <a:noFill/>
              </a:ln>
              <a:solidFill>
                <a:srgbClr val="0070C0"/>
              </a:solidFill>
              <a:effectLst/>
              <a:uLnTx/>
              <a:uFillTx/>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CalGEMCostEstimates@conservation.ca.gov</a:t>
          </a:r>
          <a:r>
            <a:rPr kumimoji="0" lang="en-US" sz="1200" b="0" i="0" u="none" strike="noStrike" kern="0" cap="none" spc="0" normalizeH="0" baseline="0" noProof="0">
              <a:ln>
                <a:noFill/>
              </a:ln>
              <a:solidFill>
                <a:srgbClr val="0070C0"/>
              </a:solidFill>
              <a:effectLst/>
              <a:uLnTx/>
              <a:uFillTx/>
              <a:latin typeface="Century Gothic" panose="020B0502020202020204" pitchFamily="34" charset="0"/>
              <a:ea typeface="+mn-ea"/>
              <a:cs typeface="+mn-cs"/>
            </a:rPr>
            <a:t>  </a:t>
          </a:r>
        </a:p>
        <a:p>
          <a:pPr algn="just" rtl="0" fontAlgn="base"/>
          <a:r>
            <a:rPr lang="en-US" sz="1200" b="0" i="0">
              <a:solidFill>
                <a:schemeClr val="dk1"/>
              </a:solidFill>
              <a:effectLst/>
              <a:latin typeface="Century Gothic" panose="020B0502020202020204" pitchFamily="34" charset="0"/>
              <a:ea typeface="+mn-ea"/>
              <a:cs typeface="+mn-cs"/>
            </a:rPr>
            <a:t> </a:t>
          </a:r>
        </a:p>
      </xdr:txBody>
    </xdr:sp>
    <xdr:clientData/>
  </xdr:twoCellAnchor>
  <xdr:twoCellAnchor>
    <xdr:from>
      <xdr:col>2</xdr:col>
      <xdr:colOff>4413248</xdr:colOff>
      <xdr:row>5</xdr:row>
      <xdr:rowOff>11640</xdr:rowOff>
    </xdr:from>
    <xdr:to>
      <xdr:col>8</xdr:col>
      <xdr:colOff>984250</xdr:colOff>
      <xdr:row>14</xdr:row>
      <xdr:rowOff>42334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143498" y="1133473"/>
          <a:ext cx="6223002" cy="3300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200" b="1" i="0" u="sng">
              <a:solidFill>
                <a:schemeClr val="accent1">
                  <a:lumMod val="50000"/>
                </a:schemeClr>
              </a:solidFill>
              <a:effectLst/>
              <a:latin typeface="Century Gothic" panose="020B0502020202020204" pitchFamily="34" charset="0"/>
              <a:ea typeface="+mn-ea"/>
              <a:cs typeface="+mn-cs"/>
            </a:rPr>
            <a:t>Wells Plugging &amp; Abandonment Cost Estimates </a:t>
          </a:r>
        </a:p>
        <a:p>
          <a:pPr rtl="0" fontAlgn="base"/>
          <a:r>
            <a:rPr lang="en-US" sz="1100" b="0" i="0">
              <a:solidFill>
                <a:schemeClr val="dk1"/>
              </a:solidFill>
              <a:effectLst/>
              <a:latin typeface="Century Gothic" panose="020B0502020202020204" pitchFamily="34" charset="0"/>
              <a:ea typeface="+mn-ea"/>
              <a:cs typeface="+mn-cs"/>
            </a:rPr>
            <a:t> </a:t>
          </a:r>
        </a:p>
        <a:p>
          <a:pPr algn="just" rtl="0" fontAlgn="base"/>
          <a:r>
            <a:rPr lang="en-US" sz="1100" b="1" i="1" u="none">
              <a:solidFill>
                <a:schemeClr val="dk1"/>
              </a:solidFill>
              <a:effectLst/>
              <a:latin typeface="Century Gothic" panose="020B0502020202020204" pitchFamily="34" charset="0"/>
              <a:ea typeface="+mn-ea"/>
              <a:cs typeface="+mn-cs"/>
            </a:rPr>
            <a:t>Step 1: Aggregated Well Score </a:t>
          </a:r>
          <a:r>
            <a:rPr lang="en-US" sz="1100" b="0" i="0">
              <a:solidFill>
                <a:schemeClr val="dk1"/>
              </a:solidFill>
              <a:effectLst/>
              <a:latin typeface="Century Gothic" panose="020B0502020202020204" pitchFamily="34" charset="0"/>
              <a:ea typeface="+mn-ea"/>
              <a:cs typeface="+mn-cs"/>
            </a:rPr>
            <a:t>– Using the Aggregated Well Score Table, determine the Aggregated Well Score for each well based on the specific characteristics of that well and well location.  Based upon the Aggregated Well Score, determine the corresponding Well Score Multiplier from the Well Score Multiplier Table. </a:t>
          </a:r>
        </a:p>
        <a:p>
          <a:pPr algn="just" rtl="0" fontAlgn="base"/>
          <a:r>
            <a:rPr lang="en-US" sz="1100" b="0" i="0">
              <a:solidFill>
                <a:schemeClr val="dk1"/>
              </a:solidFill>
              <a:effectLst/>
              <a:latin typeface="Century Gothic" panose="020B0502020202020204" pitchFamily="34" charset="0"/>
              <a:ea typeface="+mn-ea"/>
              <a:cs typeface="+mn-cs"/>
            </a:rPr>
            <a:t> </a:t>
          </a:r>
        </a:p>
        <a:p>
          <a:pPr algn="just" rtl="0" fontAlgn="base"/>
          <a:r>
            <a:rPr lang="en-US" sz="1100" b="1" i="1" u="none">
              <a:solidFill>
                <a:schemeClr val="dk1"/>
              </a:solidFill>
              <a:effectLst/>
              <a:latin typeface="Century Gothic" panose="020B0502020202020204" pitchFamily="34" charset="0"/>
              <a:ea typeface="+mn-ea"/>
              <a:cs typeface="+mn-cs"/>
            </a:rPr>
            <a:t>Step 2: Base Well Calculations </a:t>
          </a:r>
          <a:r>
            <a:rPr lang="en-US" sz="1100" b="0" i="0">
              <a:solidFill>
                <a:schemeClr val="dk1"/>
              </a:solidFill>
              <a:effectLst/>
              <a:latin typeface="Century Gothic" panose="020B0502020202020204" pitchFamily="34" charset="0"/>
              <a:ea typeface="+mn-ea"/>
              <a:cs typeface="+mn-cs"/>
            </a:rPr>
            <a:t>– Based on the region where the well is located, identify the appropriate Base Well Days and Base Daily Cost Rate.  Then determine the Estimated Well Days for plugging and abandonment of the well by multiplying the Base Well Days by the Well Score Multiplier.</a:t>
          </a:r>
        </a:p>
        <a:p>
          <a:pPr algn="just" rtl="0" fontAlgn="base"/>
          <a:r>
            <a:rPr lang="en-US" sz="1100" b="0" i="0">
              <a:solidFill>
                <a:schemeClr val="dk1"/>
              </a:solidFill>
              <a:effectLst/>
              <a:latin typeface="Century Gothic" panose="020B0502020202020204" pitchFamily="34" charset="0"/>
              <a:ea typeface="+mn-ea"/>
              <a:cs typeface="+mn-cs"/>
            </a:rPr>
            <a:t> </a:t>
          </a:r>
        </a:p>
        <a:p>
          <a:pPr algn="just" rtl="0" fontAlgn="base"/>
          <a:r>
            <a:rPr lang="en-US" sz="1100" b="1" i="1" u="none">
              <a:solidFill>
                <a:schemeClr val="dk1"/>
              </a:solidFill>
              <a:effectLst/>
              <a:latin typeface="Century Gothic" panose="020B0502020202020204" pitchFamily="34" charset="0"/>
              <a:ea typeface="+mn-ea"/>
              <a:cs typeface="+mn-cs"/>
            </a:rPr>
            <a:t>Step 3: Well Abandonment Cost Estimate </a:t>
          </a:r>
          <a:r>
            <a:rPr lang="en-US" sz="1100" b="0" i="0">
              <a:solidFill>
                <a:schemeClr val="dk1"/>
              </a:solidFill>
              <a:effectLst/>
              <a:latin typeface="Century Gothic" panose="020B0502020202020204" pitchFamily="34" charset="0"/>
              <a:ea typeface="+mn-ea"/>
              <a:cs typeface="+mn-cs"/>
            </a:rPr>
            <a:t>– Multiply the Estimated Well Days,  by the Base Daily Cost Rate, resulting</a:t>
          </a:r>
          <a:r>
            <a:rPr lang="en-US" sz="1100" b="0" i="0" baseline="0">
              <a:solidFill>
                <a:schemeClr val="dk1"/>
              </a:solidFill>
              <a:effectLst/>
              <a:latin typeface="Century Gothic" panose="020B0502020202020204" pitchFamily="34" charset="0"/>
              <a:ea typeface="+mn-ea"/>
              <a:cs typeface="+mn-cs"/>
            </a:rPr>
            <a:t> in</a:t>
          </a:r>
          <a:r>
            <a:rPr lang="en-US" sz="1100" b="0" i="0">
              <a:solidFill>
                <a:schemeClr val="dk1"/>
              </a:solidFill>
              <a:effectLst/>
              <a:latin typeface="Century Gothic" panose="020B0502020202020204" pitchFamily="34" charset="0"/>
              <a:ea typeface="+mn-ea"/>
              <a:cs typeface="+mn-cs"/>
            </a:rPr>
            <a:t> the Well Abandonment Cost Estimate.  </a:t>
          </a:r>
        </a:p>
        <a:p>
          <a:pPr algn="just" rtl="0" fontAlgn="base"/>
          <a:endParaRPr lang="en-US" sz="1100" b="0" i="0">
            <a:solidFill>
              <a:schemeClr val="dk1"/>
            </a:solidFill>
            <a:effectLst/>
            <a:latin typeface="Century Gothic" panose="020B0502020202020204" pitchFamily="34" charset="0"/>
            <a:ea typeface="+mn-ea"/>
            <a:cs typeface="+mn-cs"/>
          </a:endParaRPr>
        </a:p>
        <a:p>
          <a:pPr algn="just" rtl="0" fontAlgn="base"/>
          <a:r>
            <a:rPr lang="en-US" sz="1100" b="0" i="0">
              <a:solidFill>
                <a:schemeClr val="dk1"/>
              </a:solidFill>
              <a:effectLst/>
              <a:latin typeface="Century Gothic" panose="020B0502020202020204" pitchFamily="34" charset="0"/>
              <a:ea typeface="+mn-ea"/>
              <a:cs typeface="+mn-cs"/>
            </a:rPr>
            <a:t>For illustrative purposes, workflow for the steps above is depicted below.</a:t>
          </a:r>
        </a:p>
      </xdr:txBody>
    </xdr:sp>
    <xdr:clientData/>
  </xdr:twoCellAnchor>
  <xdr:twoCellAnchor>
    <xdr:from>
      <xdr:col>10</xdr:col>
      <xdr:colOff>6351</xdr:colOff>
      <xdr:row>5</xdr:row>
      <xdr:rowOff>2116</xdr:rowOff>
    </xdr:from>
    <xdr:to>
      <xdr:col>19</xdr:col>
      <xdr:colOff>0</xdr:colOff>
      <xdr:row>21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097684" y="1166283"/>
          <a:ext cx="5973233" cy="5035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fontAlgn="base"/>
          <a:r>
            <a:rPr lang="en-US" sz="1200" b="1" i="0" u="sng">
              <a:solidFill>
                <a:schemeClr val="accent2">
                  <a:lumMod val="50000"/>
                </a:schemeClr>
              </a:solidFill>
              <a:effectLst/>
              <a:latin typeface="Century Gothic" panose="020B0502020202020204" pitchFamily="34" charset="0"/>
              <a:ea typeface="+mn-ea"/>
              <a:cs typeface="+mn-cs"/>
            </a:rPr>
            <a:t>Production Facility Decommissioning</a:t>
          </a:r>
          <a:r>
            <a:rPr lang="en-US" sz="1200" b="1" i="0" u="sng" baseline="0">
              <a:solidFill>
                <a:schemeClr val="accent2">
                  <a:lumMod val="50000"/>
                </a:schemeClr>
              </a:solidFill>
              <a:effectLst/>
              <a:latin typeface="Century Gothic" panose="020B0502020202020204" pitchFamily="34" charset="0"/>
              <a:ea typeface="+mn-ea"/>
              <a:cs typeface="+mn-cs"/>
            </a:rPr>
            <a:t> </a:t>
          </a:r>
          <a:r>
            <a:rPr lang="en-US" sz="1200" b="1" i="0" u="sng">
              <a:solidFill>
                <a:schemeClr val="accent2">
                  <a:lumMod val="50000"/>
                </a:schemeClr>
              </a:solidFill>
              <a:effectLst/>
              <a:latin typeface="Century Gothic" panose="020B0502020202020204" pitchFamily="34" charset="0"/>
              <a:ea typeface="+mn-ea"/>
              <a:cs typeface="+mn-cs"/>
            </a:rPr>
            <a:t>Cost Estimates </a:t>
          </a:r>
        </a:p>
        <a:p>
          <a:pPr algn="l" rtl="0" fontAlgn="base"/>
          <a:r>
            <a:rPr lang="en-US" sz="1100" b="0" i="0">
              <a:solidFill>
                <a:sysClr val="windowText" lastClr="000000"/>
              </a:solidFill>
              <a:effectLst/>
              <a:latin typeface="Century Gothic" panose="020B0502020202020204" pitchFamily="34" charset="0"/>
              <a:ea typeface="+mn-ea"/>
              <a:cs typeface="+mn-cs"/>
            </a:rPr>
            <a:t> </a:t>
          </a:r>
        </a:p>
        <a:p>
          <a:pPr algn="l" rtl="0" fontAlgn="base"/>
          <a:r>
            <a:rPr lang="en-US" sz="1100" b="1" i="1" u="none">
              <a:solidFill>
                <a:sysClr val="windowText" lastClr="000000"/>
              </a:solidFill>
              <a:effectLst/>
              <a:latin typeface="Century Gothic" panose="020B0502020202020204" pitchFamily="34" charset="0"/>
              <a:ea typeface="+mn-ea"/>
              <a:cs typeface="+mn-cs"/>
            </a:rPr>
            <a:t>Step 1: Identification </a:t>
          </a:r>
          <a:r>
            <a:rPr lang="en-US" sz="1100" b="0" i="0">
              <a:solidFill>
                <a:sysClr val="windowText" lastClr="000000"/>
              </a:solidFill>
              <a:effectLst/>
              <a:latin typeface="Century Gothic" panose="020B0502020202020204" pitchFamily="34" charset="0"/>
              <a:ea typeface="+mn-ea"/>
              <a:cs typeface="+mn-cs"/>
            </a:rPr>
            <a:t>– Identify the lease where the production facility is located, list the production facility type, and quantity of all production facility equipment to be removed and disposed of.</a:t>
          </a:r>
        </a:p>
        <a:p>
          <a:pPr algn="l" rtl="0" fontAlgn="base"/>
          <a:r>
            <a:rPr lang="en-US" sz="1100" b="0" i="0">
              <a:solidFill>
                <a:sysClr val="windowText" lastClr="000000"/>
              </a:solidFill>
              <a:effectLst/>
              <a:latin typeface="Century Gothic" panose="020B0502020202020204" pitchFamily="34" charset="0"/>
              <a:ea typeface="+mn-ea"/>
              <a:cs typeface="+mn-cs"/>
            </a:rPr>
            <a:t> </a:t>
          </a:r>
        </a:p>
        <a:p>
          <a:pPr algn="l" rtl="0" fontAlgn="base"/>
          <a:r>
            <a:rPr lang="en-US" sz="1100" b="1" i="1" u="none">
              <a:solidFill>
                <a:sysClr val="windowText" lastClr="000000"/>
              </a:solidFill>
              <a:effectLst/>
              <a:latin typeface="Century Gothic" panose="020B0502020202020204" pitchFamily="34" charset="0"/>
              <a:ea typeface="+mn-ea"/>
              <a:cs typeface="+mn-cs"/>
            </a:rPr>
            <a:t>Step 2: Unit Costs </a:t>
          </a:r>
          <a:r>
            <a:rPr lang="en-US" sz="1100" b="0" i="0">
              <a:solidFill>
                <a:sysClr val="windowText" lastClr="000000"/>
              </a:solidFill>
              <a:effectLst/>
              <a:latin typeface="Century Gothic" panose="020B0502020202020204" pitchFamily="34" charset="0"/>
              <a:ea typeface="+mn-ea"/>
              <a:cs typeface="+mn-cs"/>
            </a:rPr>
            <a:t>– Multiply the quantity of Production Facility Types to be removed and disposed of by the Unit Costs provided in the Production Facility Decommissioning Unit Costs Table to calculate the Base Production Facility Decommissioning Cost of each cost element.  </a:t>
          </a:r>
        </a:p>
        <a:p>
          <a:pPr algn="l" rtl="0" fontAlgn="base"/>
          <a:r>
            <a:rPr lang="en-US" sz="1100" b="0" i="0">
              <a:solidFill>
                <a:sysClr val="windowText" lastClr="000000"/>
              </a:solidFill>
              <a:effectLst/>
              <a:latin typeface="Century Gothic" panose="020B0502020202020204" pitchFamily="34" charset="0"/>
              <a:ea typeface="+mn-ea"/>
              <a:cs typeface="+mn-cs"/>
            </a:rPr>
            <a:t> </a:t>
          </a:r>
        </a:p>
        <a:p>
          <a:pPr marL="0" indent="0" algn="l" rtl="0" fontAlgn="base"/>
          <a:r>
            <a:rPr lang="en-US" sz="1100" b="1" i="1" u="none">
              <a:solidFill>
                <a:sysClr val="windowText" lastClr="000000"/>
              </a:solidFill>
              <a:effectLst/>
              <a:latin typeface="Century Gothic" panose="020B0502020202020204" pitchFamily="34" charset="0"/>
              <a:ea typeface="+mn-ea"/>
              <a:cs typeface="+mn-cs"/>
            </a:rPr>
            <a:t>Step 3: Project Components </a:t>
          </a:r>
          <a:r>
            <a:rPr lang="en-US" sz="1100" b="0" i="0">
              <a:solidFill>
                <a:sysClr val="windowText" lastClr="000000"/>
              </a:solidFill>
              <a:effectLst/>
              <a:latin typeface="Century Gothic" panose="020B0502020202020204" pitchFamily="34" charset="0"/>
              <a:ea typeface="+mn-ea"/>
              <a:cs typeface="+mn-cs"/>
            </a:rPr>
            <a:t>– Calculate the Cost of Other Project Components by summing the costs of: 1) Permitting and Regulatory Compliance, 2) Mobilization and Demobilization, and 3) Project Management and Engineering. Calculate the Contingency Cost based on the Aggregated Risk Score calculated for each production facility, which is based upon the specific characteristics of the production facility to be decommissioned.</a:t>
          </a:r>
          <a:br>
            <a:rPr lang="en-US" sz="1100" b="0" i="0">
              <a:solidFill>
                <a:sysClr val="windowText" lastClr="000000"/>
              </a:solidFill>
              <a:effectLst/>
              <a:latin typeface="Century Gothic" panose="020B0502020202020204" pitchFamily="34" charset="0"/>
              <a:ea typeface="+mn-ea"/>
              <a:cs typeface="+mn-cs"/>
            </a:rPr>
          </a:br>
          <a:endParaRPr lang="en-US" sz="1100" b="0" i="0">
            <a:solidFill>
              <a:sysClr val="windowText" lastClr="000000"/>
            </a:solidFill>
            <a:effectLst/>
            <a:latin typeface="Century Gothic" panose="020B0502020202020204" pitchFamily="34" charset="0"/>
            <a:ea typeface="+mn-ea"/>
            <a:cs typeface="+mn-cs"/>
          </a:endParaRPr>
        </a:p>
        <a:p>
          <a:pPr marL="0" indent="0" algn="l" rtl="0" fontAlgn="base"/>
          <a:r>
            <a:rPr lang="en-US" sz="1100" b="1" i="1">
              <a:solidFill>
                <a:sysClr val="windowText" lastClr="000000"/>
              </a:solidFill>
              <a:effectLst/>
              <a:latin typeface="Century Gothic" panose="020B0502020202020204" pitchFamily="34" charset="0"/>
              <a:ea typeface="+mn-ea"/>
              <a:cs typeface="+mn-cs"/>
            </a:rPr>
            <a:t>Step 4: Production Facility Decommissioning Cost Estimate</a:t>
          </a:r>
          <a:r>
            <a:rPr lang="en-US" sz="1100" b="0" i="0" baseline="0">
              <a:solidFill>
                <a:sysClr val="windowText" lastClr="000000"/>
              </a:solidFill>
              <a:effectLst/>
              <a:latin typeface="Century Gothic" panose="020B0502020202020204" pitchFamily="34" charset="0"/>
              <a:ea typeface="+mn-ea"/>
              <a:cs typeface="+mn-cs"/>
            </a:rPr>
            <a:t> - Sum the calculated amounts for the Base Facility Decommissioning Cost, Cost of Other Project Components, and the Contingency Cost</a:t>
          </a:r>
        </a:p>
        <a:p>
          <a:pPr marL="0" indent="0" algn="l" rtl="0" fontAlgn="base"/>
          <a:endParaRPr lang="en-US" sz="1100" b="0" i="0">
            <a:solidFill>
              <a:sysClr val="windowText" lastClr="000000"/>
            </a:solidFill>
            <a:effectLst/>
            <a:latin typeface="Century Gothic" panose="020B0502020202020204" pitchFamily="34" charset="0"/>
            <a:ea typeface="+mn-ea"/>
            <a:cs typeface="+mn-cs"/>
          </a:endParaRPr>
        </a:p>
        <a:p>
          <a:pPr algn="l" rtl="0" fontAlgn="base"/>
          <a:r>
            <a:rPr lang="en-US" sz="1100" b="0" i="0" u="none" strike="noStrike">
              <a:solidFill>
                <a:sysClr val="windowText" lastClr="000000"/>
              </a:solidFill>
              <a:effectLst/>
              <a:latin typeface="Century Gothic" panose="020B0502020202020204" pitchFamily="34" charset="0"/>
              <a:ea typeface="+mn-ea"/>
              <a:cs typeface="+mn-cs"/>
            </a:rPr>
            <a:t>For illustrative purposes, workflow for the steps above is depicted below.</a:t>
          </a:r>
          <a:endParaRPr lang="en-US" sz="1100" b="0" i="0">
            <a:solidFill>
              <a:sysClr val="windowText" lastClr="000000"/>
            </a:solidFill>
            <a:effectLst/>
            <a:latin typeface="Century Gothic" panose="020B0502020202020204" pitchFamily="34" charset="0"/>
            <a:ea typeface="+mn-ea"/>
            <a:cs typeface="+mn-cs"/>
          </a:endParaRPr>
        </a:p>
      </xdr:txBody>
    </xdr:sp>
    <xdr:clientData/>
  </xdr:twoCellAnchor>
  <xdr:twoCellAnchor editAs="oneCell">
    <xdr:from>
      <xdr:col>1</xdr:col>
      <xdr:colOff>263</xdr:colOff>
      <xdr:row>1</xdr:row>
      <xdr:rowOff>22395</xdr:rowOff>
    </xdr:from>
    <xdr:to>
      <xdr:col>2</xdr:col>
      <xdr:colOff>2601912</xdr:colOff>
      <xdr:row>3</xdr:row>
      <xdr:rowOff>69849</xdr:rowOff>
    </xdr:to>
    <xdr:pic>
      <xdr:nvPicPr>
        <xdr:cNvPr id="6" name="Picture 5" descr="Log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83607" y="93833"/>
          <a:ext cx="2892955" cy="957885"/>
        </a:xfrm>
        <a:prstGeom prst="rect">
          <a:avLst/>
        </a:prstGeom>
      </xdr:spPr>
    </xdr:pic>
    <xdr:clientData/>
  </xdr:twoCellAnchor>
  <xdr:twoCellAnchor editAs="oneCell">
    <xdr:from>
      <xdr:col>10</xdr:col>
      <xdr:colOff>20109</xdr:colOff>
      <xdr:row>17</xdr:row>
      <xdr:rowOff>221824</xdr:rowOff>
    </xdr:from>
    <xdr:to>
      <xdr:col>18</xdr:col>
      <xdr:colOff>606425</xdr:colOff>
      <xdr:row>24</xdr:row>
      <xdr:rowOff>198857</xdr:rowOff>
    </xdr:to>
    <xdr:pic>
      <xdr:nvPicPr>
        <xdr:cNvPr id="4" name="Picture 3" descr="Chart">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0997672" y="5412949"/>
          <a:ext cx="5742516" cy="1807420"/>
        </a:xfrm>
        <a:prstGeom prst="rect">
          <a:avLst/>
        </a:prstGeom>
      </xdr:spPr>
    </xdr:pic>
    <xdr:clientData/>
  </xdr:twoCellAnchor>
  <xdr:twoCellAnchor>
    <xdr:from>
      <xdr:col>20</xdr:col>
      <xdr:colOff>6351</xdr:colOff>
      <xdr:row>5</xdr:row>
      <xdr:rowOff>2116</xdr:rowOff>
    </xdr:from>
    <xdr:to>
      <xdr:col>28</xdr:col>
      <xdr:colOff>0</xdr:colOff>
      <xdr:row>21</xdr:row>
      <xdr:rowOff>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100859" y="1166283"/>
          <a:ext cx="5970058" cy="5035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fontAlgn="base"/>
          <a:r>
            <a:rPr lang="en-US" sz="1200" b="1" i="0" u="sng">
              <a:solidFill>
                <a:schemeClr val="accent6">
                  <a:lumMod val="50000"/>
                </a:schemeClr>
              </a:solidFill>
              <a:effectLst/>
              <a:latin typeface="Century Gothic" panose="020B0502020202020204" pitchFamily="34" charset="0"/>
              <a:ea typeface="+mn-ea"/>
              <a:cs typeface="+mn-cs"/>
            </a:rPr>
            <a:t>Site Remediation Cost Estimates </a:t>
          </a:r>
        </a:p>
        <a:p>
          <a:pPr algn="l" rtl="0" fontAlgn="base"/>
          <a:r>
            <a:rPr lang="en-US" sz="1100" b="0" i="0">
              <a:solidFill>
                <a:sysClr val="windowText" lastClr="000000"/>
              </a:solidFill>
              <a:effectLst/>
              <a:latin typeface="Century Gothic" panose="020B0502020202020204" pitchFamily="34" charset="0"/>
              <a:ea typeface="+mn-ea"/>
              <a:cs typeface="+mn-cs"/>
            </a:rPr>
            <a:t> </a:t>
          </a:r>
        </a:p>
        <a:p>
          <a:pPr algn="l" rtl="0" fontAlgn="base"/>
          <a:r>
            <a:rPr lang="en-US" sz="1100" b="1" i="1" u="none">
              <a:solidFill>
                <a:sysClr val="windowText" lastClr="000000"/>
              </a:solidFill>
              <a:effectLst/>
              <a:latin typeface="Century Gothic" panose="020B0502020202020204" pitchFamily="34" charset="0"/>
              <a:ea typeface="+mn-ea"/>
              <a:cs typeface="+mn-cs"/>
            </a:rPr>
            <a:t>Step 1: Identification </a:t>
          </a:r>
          <a:r>
            <a:rPr lang="en-US" sz="1100" b="0" i="0">
              <a:solidFill>
                <a:sysClr val="windowText" lastClr="000000"/>
              </a:solidFill>
              <a:effectLst/>
              <a:latin typeface="Century Gothic" panose="020B0502020202020204" pitchFamily="34" charset="0"/>
              <a:ea typeface="+mn-ea"/>
              <a:cs typeface="+mn-cs"/>
            </a:rPr>
            <a:t>– Identify area around a well site or a production facility site that will require site remediation, list the type and quantity of material to be removed and remediated. </a:t>
          </a:r>
        </a:p>
        <a:p>
          <a:pPr algn="l" rtl="0" fontAlgn="base"/>
          <a:r>
            <a:rPr lang="en-US" sz="1100" b="0" i="0">
              <a:solidFill>
                <a:sysClr val="windowText" lastClr="000000"/>
              </a:solidFill>
              <a:effectLst/>
              <a:latin typeface="Century Gothic" panose="020B0502020202020204" pitchFamily="34" charset="0"/>
              <a:ea typeface="+mn-ea"/>
              <a:cs typeface="+mn-cs"/>
            </a:rPr>
            <a:t> </a:t>
          </a:r>
        </a:p>
        <a:p>
          <a:pPr algn="l" rtl="0" fontAlgn="base"/>
          <a:r>
            <a:rPr lang="en-US" sz="1100" b="1" i="1" u="none">
              <a:solidFill>
                <a:sysClr val="windowText" lastClr="000000"/>
              </a:solidFill>
              <a:effectLst/>
              <a:latin typeface="Century Gothic" panose="020B0502020202020204" pitchFamily="34" charset="0"/>
              <a:ea typeface="+mn-ea"/>
              <a:cs typeface="+mn-cs"/>
            </a:rPr>
            <a:t>Step 2: Unit Costs </a:t>
          </a:r>
          <a:r>
            <a:rPr lang="en-US" sz="1100" b="0" i="0">
              <a:solidFill>
                <a:sysClr val="windowText" lastClr="000000"/>
              </a:solidFill>
              <a:effectLst/>
              <a:latin typeface="Century Gothic" panose="020B0502020202020204" pitchFamily="34" charset="0"/>
              <a:ea typeface="+mn-ea"/>
              <a:cs typeface="+mn-cs"/>
            </a:rPr>
            <a:t>– Multiply the quantity of Cost Elements, such as tanks and vessels, to be remediated, by the Unit Cost provided in the Site Remediation Unit Costs Table to calculate Base Site Remediation Cost for each site. </a:t>
          </a:r>
        </a:p>
        <a:p>
          <a:pPr algn="l" rtl="0" fontAlgn="base"/>
          <a:r>
            <a:rPr lang="en-US" sz="1100" b="0" i="0">
              <a:solidFill>
                <a:sysClr val="windowText" lastClr="000000"/>
              </a:solidFill>
              <a:effectLst/>
              <a:latin typeface="Century Gothic" panose="020B0502020202020204" pitchFamily="34" charset="0"/>
              <a:ea typeface="+mn-ea"/>
              <a:cs typeface="+mn-cs"/>
            </a:rPr>
            <a:t> </a:t>
          </a:r>
        </a:p>
        <a:p>
          <a:pPr marL="0" indent="0" algn="l" rtl="0" fontAlgn="base"/>
          <a:r>
            <a:rPr lang="en-US" sz="1100" b="1" i="1" u="none">
              <a:solidFill>
                <a:sysClr val="windowText" lastClr="000000"/>
              </a:solidFill>
              <a:effectLst/>
              <a:latin typeface="Century Gothic" panose="020B0502020202020204" pitchFamily="34" charset="0"/>
              <a:ea typeface="+mn-ea"/>
              <a:cs typeface="+mn-cs"/>
            </a:rPr>
            <a:t>Step 3: Project Components </a:t>
          </a:r>
          <a:r>
            <a:rPr lang="en-US" sz="1100" b="0" i="0">
              <a:solidFill>
                <a:sysClr val="windowText" lastClr="000000"/>
              </a:solidFill>
              <a:effectLst/>
              <a:latin typeface="Century Gothic" panose="020B0502020202020204" pitchFamily="34" charset="0"/>
              <a:ea typeface="+mn-ea"/>
              <a:cs typeface="+mn-cs"/>
            </a:rPr>
            <a:t>–</a:t>
          </a:r>
          <a:r>
            <a:rPr lang="en-US" sz="1100" b="0" i="0" baseline="0">
              <a:solidFill>
                <a:sysClr val="windowText" lastClr="000000"/>
              </a:solidFill>
              <a:effectLst/>
              <a:latin typeface="Century Gothic" panose="020B0502020202020204" pitchFamily="34" charset="0"/>
              <a:ea typeface="+mn-ea"/>
              <a:cs typeface="+mn-cs"/>
            </a:rPr>
            <a:t> C</a:t>
          </a:r>
          <a:r>
            <a:rPr lang="en-US" sz="1100" b="0" i="0">
              <a:solidFill>
                <a:sysClr val="windowText" lastClr="000000"/>
              </a:solidFill>
              <a:effectLst/>
              <a:latin typeface="Century Gothic" panose="020B0502020202020204" pitchFamily="34" charset="0"/>
              <a:ea typeface="+mn-ea"/>
              <a:cs typeface="+mn-cs"/>
            </a:rPr>
            <a:t>alculate the Cost of other Project Components by summing the costs of:  1) Permitting and Regulatory Compliance, 2) Mobilization and Demobilization, and 3) Project Management and Engineering. Calculate the Contingency Cost based on the Aggregated Risk Score calculated for each site, which is based upon the specific characteristics of the site.</a:t>
          </a:r>
          <a:br>
            <a:rPr lang="en-US" sz="1100" b="0" i="0">
              <a:solidFill>
                <a:sysClr val="windowText" lastClr="000000"/>
              </a:solidFill>
              <a:effectLst/>
              <a:latin typeface="Century Gothic" panose="020B0502020202020204" pitchFamily="34" charset="0"/>
              <a:ea typeface="+mn-ea"/>
              <a:cs typeface="+mn-cs"/>
            </a:rPr>
          </a:br>
          <a:endParaRPr lang="en-US" sz="1100" b="0" i="0">
            <a:solidFill>
              <a:sysClr val="windowText" lastClr="000000"/>
            </a:solidFill>
            <a:effectLst/>
            <a:latin typeface="Century Gothic" panose="020B0502020202020204" pitchFamily="34" charset="0"/>
            <a:ea typeface="+mn-ea"/>
            <a:cs typeface="+mn-cs"/>
          </a:endParaRPr>
        </a:p>
        <a:p>
          <a:pPr marL="0" indent="0" algn="l" rtl="0" fontAlgn="base"/>
          <a:r>
            <a:rPr lang="en-US" sz="1100" b="1" i="1">
              <a:solidFill>
                <a:sysClr val="windowText" lastClr="000000"/>
              </a:solidFill>
              <a:effectLst/>
              <a:latin typeface="Century Gothic" panose="020B0502020202020204" pitchFamily="34" charset="0"/>
              <a:ea typeface="+mn-ea"/>
              <a:cs typeface="+mn-cs"/>
            </a:rPr>
            <a:t>Step 4: Site Remediation Cost Estimate</a:t>
          </a:r>
          <a:r>
            <a:rPr lang="en-US" sz="1100" b="0" i="0" baseline="0">
              <a:solidFill>
                <a:sysClr val="windowText" lastClr="000000"/>
              </a:solidFill>
              <a:effectLst/>
              <a:latin typeface="Century Gothic" panose="020B0502020202020204" pitchFamily="34" charset="0"/>
              <a:ea typeface="+mn-ea"/>
              <a:cs typeface="+mn-cs"/>
            </a:rPr>
            <a:t> - Sum the calculated amounts for the Base Site Remediation Cost, Cost of Other Project Components, and the Contingency. </a:t>
          </a:r>
        </a:p>
        <a:p>
          <a:pPr marL="0" indent="0" algn="l" rtl="0" fontAlgn="base"/>
          <a:endParaRPr lang="en-US" sz="1100" b="0" i="0">
            <a:solidFill>
              <a:sysClr val="windowText" lastClr="000000"/>
            </a:solidFill>
            <a:effectLst/>
            <a:latin typeface="Century Gothic" panose="020B0502020202020204" pitchFamily="34" charset="0"/>
            <a:ea typeface="+mn-ea"/>
            <a:cs typeface="+mn-cs"/>
          </a:endParaRPr>
        </a:p>
        <a:p>
          <a:pPr algn="l" rtl="0" fontAlgn="base"/>
          <a:r>
            <a:rPr lang="en-US" sz="1100" b="0" i="0" u="none" strike="noStrike">
              <a:solidFill>
                <a:sysClr val="windowText" lastClr="000000"/>
              </a:solidFill>
              <a:effectLst/>
              <a:latin typeface="Century Gothic" panose="020B0502020202020204" pitchFamily="34" charset="0"/>
              <a:ea typeface="+mn-ea"/>
              <a:cs typeface="+mn-cs"/>
            </a:rPr>
            <a:t>For illustrative purposes, workflow for the steps above is depicted below.</a:t>
          </a:r>
          <a:endParaRPr lang="en-US" sz="1100" b="0" i="0">
            <a:solidFill>
              <a:sysClr val="windowText" lastClr="000000"/>
            </a:solidFill>
            <a:effectLst/>
            <a:latin typeface="Century Gothic" panose="020B0502020202020204" pitchFamily="34" charset="0"/>
            <a:ea typeface="+mn-ea"/>
            <a:cs typeface="+mn-cs"/>
          </a:endParaRPr>
        </a:p>
      </xdr:txBody>
    </xdr:sp>
    <xdr:clientData/>
  </xdr:twoCellAnchor>
  <xdr:twoCellAnchor editAs="oneCell">
    <xdr:from>
      <xdr:col>20</xdr:col>
      <xdr:colOff>16933</xdr:colOff>
      <xdr:row>18</xdr:row>
      <xdr:rowOff>66676</xdr:rowOff>
    </xdr:from>
    <xdr:to>
      <xdr:col>27</xdr:col>
      <xdr:colOff>562381</xdr:colOff>
      <xdr:row>24</xdr:row>
      <xdr:rowOff>95250</xdr:rowOff>
    </xdr:to>
    <xdr:pic>
      <xdr:nvPicPr>
        <xdr:cNvPr id="7" name="Picture 6" descr="Workflow&#10;Start - Gather site &amp; location information&#10;Step 1 - Identify the areas around a well site or a facility site that will require site remediation&#10;Step 2 - Determine the base site remediation cost for each use&#10;Step 3 - Determine the cost of other project components and contingency cost&#10;Step 4 - Sum the base site remediation cost, cost of other project components, and the contingency cost&#10;End - Report estimate site remediation cost" title="Workflow Site Remediation">
          <a:extLst>
            <a:ext uri="{FF2B5EF4-FFF2-40B4-BE49-F238E27FC236}">
              <a16:creationId xmlns:a16="http://schemas.microsoft.com/office/drawing/2014/main" id="{00000000-0008-0000-0000-000007000000}"/>
            </a:ext>
            <a:ext uri="{147F2762-F138-4A5C-976F-8EAC2B608ADB}">
              <a16:predDERef xmlns:a16="http://schemas.microsoft.com/office/drawing/2014/main" pred="{00000000-0008-0000-0000-000008000000}"/>
            </a:ext>
          </a:extLst>
        </xdr:cNvPr>
        <xdr:cNvPicPr>
          <a:picLocks noChangeAspect="1"/>
        </xdr:cNvPicPr>
      </xdr:nvPicPr>
      <xdr:blipFill>
        <a:blip xmlns:r="http://schemas.openxmlformats.org/officeDocument/2006/relationships" r:embed="rId3"/>
        <a:stretch>
          <a:fillRect/>
        </a:stretch>
      </xdr:blipFill>
      <xdr:spPr>
        <a:xfrm>
          <a:off x="16899996" y="5519739"/>
          <a:ext cx="5046009" cy="1600199"/>
        </a:xfrm>
        <a:prstGeom prst="rect">
          <a:avLst/>
        </a:prstGeom>
      </xdr:spPr>
    </xdr:pic>
    <xdr:clientData/>
  </xdr:twoCellAnchor>
  <xdr:twoCellAnchor editAs="oneCell">
    <xdr:from>
      <xdr:col>3</xdr:col>
      <xdr:colOff>95250</xdr:colOff>
      <xdr:row>13</xdr:row>
      <xdr:rowOff>171450</xdr:rowOff>
    </xdr:from>
    <xdr:to>
      <xdr:col>8</xdr:col>
      <xdr:colOff>647700</xdr:colOff>
      <xdr:row>23</xdr:row>
      <xdr:rowOff>123825</xdr:rowOff>
    </xdr:to>
    <xdr:pic>
      <xdr:nvPicPr>
        <xdr:cNvPr id="9" name="Picture 8" descr="Start - Gather well &amp; location information&#10;Step 1a - Determine Well Score&#10;Step 1b - Determine Well Score Multiplier&#10;Step 2a - Select Base Well Days&#10;Step 2b - Calculate Estimated Well P&amp;A Days&#10;Step 3a - Select Base Daily Cost&#10;Step 3b - Calculate Well Abandonment Cost Estimate&#10;End - Report Well Abandonment Cost Estimate" title="Workflow Plugging &amp; Abandonment">
          <a:extLst>
            <a:ext uri="{FF2B5EF4-FFF2-40B4-BE49-F238E27FC236}">
              <a16:creationId xmlns:a16="http://schemas.microsoft.com/office/drawing/2014/main" id="{00000000-0008-0000-0000-000009000000}"/>
            </a:ext>
            <a:ext uri="{147F2762-F138-4A5C-976F-8EAC2B608ADB}">
              <a16:predDERef xmlns:a16="http://schemas.microsoft.com/office/drawing/2014/main" pred="{00000000-0008-0000-0000-000007000000}"/>
            </a:ext>
          </a:extLst>
        </xdr:cNvPr>
        <xdr:cNvPicPr>
          <a:picLocks noChangeAspect="1"/>
        </xdr:cNvPicPr>
      </xdr:nvPicPr>
      <xdr:blipFill>
        <a:blip xmlns:r="http://schemas.openxmlformats.org/officeDocument/2006/relationships" r:embed="rId4"/>
        <a:stretch>
          <a:fillRect/>
        </a:stretch>
      </xdr:blipFill>
      <xdr:spPr>
        <a:xfrm>
          <a:off x="4514850" y="4105275"/>
          <a:ext cx="5543550" cy="27527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37812</xdr:colOff>
      <xdr:row>2</xdr:row>
      <xdr:rowOff>106391</xdr:rowOff>
    </xdr:from>
    <xdr:to>
      <xdr:col>2</xdr:col>
      <xdr:colOff>1343026</xdr:colOff>
      <xdr:row>4</xdr:row>
      <xdr:rowOff>154986</xdr:rowOff>
    </xdr:to>
    <xdr:pic>
      <xdr:nvPicPr>
        <xdr:cNvPr id="2" name="Picture 1" descr="Logo">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94987" y="484216"/>
          <a:ext cx="1559214" cy="499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247648</xdr:colOff>
      <xdr:row>1</xdr:row>
      <xdr:rowOff>47625</xdr:rowOff>
    </xdr:from>
    <xdr:to>
      <xdr:col>1</xdr:col>
      <xdr:colOff>2621492</xdr:colOff>
      <xdr:row>5</xdr:row>
      <xdr:rowOff>153906</xdr:rowOff>
    </xdr:to>
    <xdr:pic>
      <xdr:nvPicPr>
        <xdr:cNvPr id="3" name="Picture 2" descr="Logo">
          <a:extLst>
            <a:ext uri="{FF2B5EF4-FFF2-40B4-BE49-F238E27FC236}">
              <a16:creationId xmlns:a16="http://schemas.microsoft.com/office/drawing/2014/main" id="{C7A29942-9FE8-417F-8CC1-03C0D7372FAC}"/>
            </a:ext>
          </a:extLst>
        </xdr:cNvPr>
        <xdr:cNvPicPr>
          <a:picLocks noChangeAspect="1"/>
        </xdr:cNvPicPr>
      </xdr:nvPicPr>
      <xdr:blipFill>
        <a:blip xmlns:r="http://schemas.openxmlformats.org/officeDocument/2006/relationships" r:embed="rId1"/>
        <a:stretch>
          <a:fillRect/>
        </a:stretch>
      </xdr:blipFill>
      <xdr:spPr>
        <a:xfrm>
          <a:off x="247648" y="291042"/>
          <a:ext cx="2631019" cy="910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25400</xdr:colOff>
      <xdr:row>1</xdr:row>
      <xdr:rowOff>95250</xdr:rowOff>
    </xdr:from>
    <xdr:to>
      <xdr:col>1</xdr:col>
      <xdr:colOff>2312412</xdr:colOff>
      <xdr:row>1</xdr:row>
      <xdr:rowOff>876300</xdr:rowOff>
    </xdr:to>
    <xdr:pic>
      <xdr:nvPicPr>
        <xdr:cNvPr id="3" name="Picture 2" descr="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96850" y="200025"/>
          <a:ext cx="2372737" cy="781050"/>
        </a:xfrm>
        <a:prstGeom prst="rect">
          <a:avLst/>
        </a:prstGeom>
      </xdr:spPr>
    </xdr:pic>
    <xdr:clientData/>
  </xdr:twoCellAnchor>
  <xdr:twoCellAnchor>
    <xdr:from>
      <xdr:col>1</xdr:col>
      <xdr:colOff>25401</xdr:colOff>
      <xdr:row>18</xdr:row>
      <xdr:rowOff>28575</xdr:rowOff>
    </xdr:from>
    <xdr:to>
      <xdr:col>5</xdr:col>
      <xdr:colOff>501650</xdr:colOff>
      <xdr:row>19</xdr:row>
      <xdr:rowOff>63500</xdr:rowOff>
    </xdr:to>
    <xdr:sp macro="" textlink="">
      <xdr:nvSpPr>
        <xdr:cNvPr id="2" name="TextBox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300-000003000000}"/>
            </a:ext>
          </a:extLst>
        </xdr:cNvPr>
        <xdr:cNvSpPr txBox="1"/>
      </xdr:nvSpPr>
      <xdr:spPr>
        <a:xfrm>
          <a:off x="196851" y="4733925"/>
          <a:ext cx="5829299" cy="415925"/>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The well has known downhole issues that would impede plugging and abandonment of the well and require special tools for intervention, such as junk, stuck rods, packer, scales in casing, or fish, or it is unknown if the well has junk or other downhole issues</a:t>
          </a:r>
        </a:p>
      </xdr:txBody>
    </xdr:sp>
    <xdr:clientData/>
  </xdr:twoCellAnchor>
  <xdr:twoCellAnchor>
    <xdr:from>
      <xdr:col>1</xdr:col>
      <xdr:colOff>9526</xdr:colOff>
      <xdr:row>12</xdr:row>
      <xdr:rowOff>28576</xdr:rowOff>
    </xdr:from>
    <xdr:to>
      <xdr:col>5</xdr:col>
      <xdr:colOff>504825</xdr:colOff>
      <xdr:row>13</xdr:row>
      <xdr:rowOff>28576</xdr:rowOff>
    </xdr:to>
    <xdr:sp macro="" textlink="">
      <xdr:nvSpPr>
        <xdr:cNvPr id="5" name="TextBox 4">
          <a:extLst>
            <a:ext uri="{FF2B5EF4-FFF2-40B4-BE49-F238E27FC236}">
              <a16:creationId xmlns:a16="http://schemas.microsoft.com/office/drawing/2014/main" id="{00000000-0008-0000-0200-000005000000}"/>
            </a:ext>
            <a:ext uri="{147F2762-F138-4A5C-976F-8EAC2B608ADB}">
              <a16:predDERef xmlns:a16="http://schemas.microsoft.com/office/drawing/2014/main" pred="{00000000-0008-0000-0300-000003000000}"/>
            </a:ext>
          </a:extLst>
        </xdr:cNvPr>
        <xdr:cNvSpPr txBox="1"/>
      </xdr:nvSpPr>
      <xdr:spPr>
        <a:xfrm>
          <a:off x="180976" y="2762251"/>
          <a:ext cx="5848349" cy="361950"/>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The well is in an area of known geologic hazard including subsidence, landslide, or there is a history of damage to the well from seismicity</a:t>
          </a:r>
        </a:p>
      </xdr:txBody>
    </xdr:sp>
    <xdr:clientData/>
  </xdr:twoCellAnchor>
  <xdr:twoCellAnchor>
    <xdr:from>
      <xdr:col>1</xdr:col>
      <xdr:colOff>15876</xdr:colOff>
      <xdr:row>13</xdr:row>
      <xdr:rowOff>9526</xdr:rowOff>
    </xdr:from>
    <xdr:to>
      <xdr:col>5</xdr:col>
      <xdr:colOff>492125</xdr:colOff>
      <xdr:row>13</xdr:row>
      <xdr:rowOff>320675</xdr:rowOff>
    </xdr:to>
    <xdr:sp macro="" textlink="">
      <xdr:nvSpPr>
        <xdr:cNvPr id="6" name="TextBox 5">
          <a:extLst>
            <a:ext uri="{FF2B5EF4-FFF2-40B4-BE49-F238E27FC236}">
              <a16:creationId xmlns:a16="http://schemas.microsoft.com/office/drawing/2014/main" id="{00000000-0008-0000-0200-000006000000}"/>
            </a:ext>
            <a:ext uri="{147F2762-F138-4A5C-976F-8EAC2B608ADB}">
              <a16:predDERef xmlns:a16="http://schemas.microsoft.com/office/drawing/2014/main" pred="{00000000-0008-0000-0300-000003000000}"/>
            </a:ext>
          </a:extLst>
        </xdr:cNvPr>
        <xdr:cNvSpPr txBox="1"/>
      </xdr:nvSpPr>
      <xdr:spPr>
        <a:xfrm>
          <a:off x="187326" y="3114676"/>
          <a:ext cx="5829299" cy="311149"/>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The well has surface obstacles or other impediments preventing access to the wellhead, including but not limited to buildings or structures, surface-use activities, irrigation systems, roads, terrain, or restricted access</a:t>
          </a:r>
        </a:p>
      </xdr:txBody>
    </xdr:sp>
    <xdr:clientData/>
  </xdr:twoCellAnchor>
  <xdr:twoCellAnchor>
    <xdr:from>
      <xdr:col>1</xdr:col>
      <xdr:colOff>6351</xdr:colOff>
      <xdr:row>10</xdr:row>
      <xdr:rowOff>34925</xdr:rowOff>
    </xdr:from>
    <xdr:to>
      <xdr:col>5</xdr:col>
      <xdr:colOff>501650</xdr:colOff>
      <xdr:row>11</xdr:row>
      <xdr:rowOff>123824</xdr:rowOff>
    </xdr:to>
    <xdr:sp macro="" textlink="">
      <xdr:nvSpPr>
        <xdr:cNvPr id="7" name="TextBox 6">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300-000003000000}"/>
            </a:ext>
          </a:extLst>
        </xdr:cNvPr>
        <xdr:cNvSpPr txBox="1"/>
      </xdr:nvSpPr>
      <xdr:spPr>
        <a:xfrm>
          <a:off x="263526" y="2273300"/>
          <a:ext cx="5848349" cy="355599"/>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The well is a critical well as defined by Section 1720, located within a city limit, or is located in an urban area as defined by Section 1760 </a:t>
          </a:r>
        </a:p>
      </xdr:txBody>
    </xdr:sp>
    <xdr:clientData/>
  </xdr:twoCellAnchor>
  <xdr:twoCellAnchor>
    <xdr:from>
      <xdr:col>1</xdr:col>
      <xdr:colOff>19051</xdr:colOff>
      <xdr:row>11</xdr:row>
      <xdr:rowOff>38101</xdr:rowOff>
    </xdr:from>
    <xdr:to>
      <xdr:col>5</xdr:col>
      <xdr:colOff>514350</xdr:colOff>
      <xdr:row>12</xdr:row>
      <xdr:rowOff>73025</xdr:rowOff>
    </xdr:to>
    <xdr:sp macro="" textlink="">
      <xdr:nvSpPr>
        <xdr:cNvPr id="8" name="TextBox 7">
          <a:extLst>
            <a:ext uri="{FF2B5EF4-FFF2-40B4-BE49-F238E27FC236}">
              <a16:creationId xmlns:a16="http://schemas.microsoft.com/office/drawing/2014/main" id="{00000000-0008-0000-0200-000008000000}"/>
            </a:ext>
            <a:ext uri="{147F2762-F138-4A5C-976F-8EAC2B608ADB}">
              <a16:predDERef xmlns:a16="http://schemas.microsoft.com/office/drawing/2014/main" pred="{00000000-0008-0000-0300-000003000000}"/>
            </a:ext>
          </a:extLst>
        </xdr:cNvPr>
        <xdr:cNvSpPr txBox="1"/>
      </xdr:nvSpPr>
      <xdr:spPr>
        <a:xfrm>
          <a:off x="190501" y="2505076"/>
          <a:ext cx="5848349" cy="301624"/>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The well has an environmentally sensitive wellhead as defined in Section 1760</a:t>
          </a:r>
        </a:p>
      </xdr:txBody>
    </xdr:sp>
    <xdr:clientData/>
  </xdr:twoCellAnchor>
  <xdr:twoCellAnchor>
    <xdr:from>
      <xdr:col>1</xdr:col>
      <xdr:colOff>6351</xdr:colOff>
      <xdr:row>16</xdr:row>
      <xdr:rowOff>47624</xdr:rowOff>
    </xdr:from>
    <xdr:to>
      <xdr:col>5</xdr:col>
      <xdr:colOff>501650</xdr:colOff>
      <xdr:row>17</xdr:row>
      <xdr:rowOff>82549</xdr:rowOff>
    </xdr:to>
    <xdr:sp macro="" textlink="">
      <xdr:nvSpPr>
        <xdr:cNvPr id="10" name="TextBox 9">
          <a:extLst>
            <a:ext uri="{FF2B5EF4-FFF2-40B4-BE49-F238E27FC236}">
              <a16:creationId xmlns:a16="http://schemas.microsoft.com/office/drawing/2014/main" id="{00000000-0008-0000-0200-00000A000000}"/>
            </a:ext>
            <a:ext uri="{147F2762-F138-4A5C-976F-8EAC2B608ADB}">
              <a16:predDERef xmlns:a16="http://schemas.microsoft.com/office/drawing/2014/main" pred="{00000000-0008-0000-0300-000003000000}"/>
            </a:ext>
          </a:extLst>
        </xdr:cNvPr>
        <xdr:cNvSpPr txBox="1"/>
      </xdr:nvSpPr>
      <xdr:spPr>
        <a:xfrm>
          <a:off x="177801" y="3895724"/>
          <a:ext cx="5848349" cy="415925"/>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The well, when shut in, has pressure in the casing or tubing at the surface of more than 250 psi, the pressure in the casing or tubing is unknown, or the well is open to the atmosphere, or it is unknown if the well is open to the atmosphere </a:t>
          </a:r>
        </a:p>
      </xdr:txBody>
    </xdr:sp>
    <xdr:clientData/>
  </xdr:twoCellAnchor>
  <xdr:twoCellAnchor>
    <xdr:from>
      <xdr:col>1</xdr:col>
      <xdr:colOff>15876</xdr:colOff>
      <xdr:row>17</xdr:row>
      <xdr:rowOff>6351</xdr:rowOff>
    </xdr:from>
    <xdr:to>
      <xdr:col>5</xdr:col>
      <xdr:colOff>511175</xdr:colOff>
      <xdr:row>18</xdr:row>
      <xdr:rowOff>73025</xdr:rowOff>
    </xdr:to>
    <xdr:sp macro="" textlink="">
      <xdr:nvSpPr>
        <xdr:cNvPr id="11" name="TextBox 10">
          <a:extLst>
            <a:ext uri="{FF2B5EF4-FFF2-40B4-BE49-F238E27FC236}">
              <a16:creationId xmlns:a16="http://schemas.microsoft.com/office/drawing/2014/main" id="{00000000-0008-0000-0200-00000B000000}"/>
            </a:ext>
            <a:ext uri="{147F2762-F138-4A5C-976F-8EAC2B608ADB}">
              <a16:predDERef xmlns:a16="http://schemas.microsoft.com/office/drawing/2014/main" pred="{00000000-0008-0000-0300-000003000000}"/>
            </a:ext>
          </a:extLst>
        </xdr:cNvPr>
        <xdr:cNvSpPr txBox="1"/>
      </xdr:nvSpPr>
      <xdr:spPr>
        <a:xfrm>
          <a:off x="187326" y="4321176"/>
          <a:ext cx="5848349" cy="304799"/>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The well has inadequate casing or inadequate tubing integrity, or the adequacy of the casing or tubing is unknown</a:t>
          </a:r>
        </a:p>
      </xdr:txBody>
    </xdr:sp>
    <xdr:clientData/>
  </xdr:twoCellAnchor>
  <xdr:twoCellAnchor>
    <xdr:from>
      <xdr:col>1</xdr:col>
      <xdr:colOff>19051</xdr:colOff>
      <xdr:row>19</xdr:row>
      <xdr:rowOff>19051</xdr:rowOff>
    </xdr:from>
    <xdr:to>
      <xdr:col>5</xdr:col>
      <xdr:colOff>514350</xdr:colOff>
      <xdr:row>20</xdr:row>
      <xdr:rowOff>82550</xdr:rowOff>
    </xdr:to>
    <xdr:sp macro="" textlink="">
      <xdr:nvSpPr>
        <xdr:cNvPr id="12" name="TextBox 11">
          <a:extLst>
            <a:ext uri="{FF2B5EF4-FFF2-40B4-BE49-F238E27FC236}">
              <a16:creationId xmlns:a16="http://schemas.microsoft.com/office/drawing/2014/main" id="{00000000-0008-0000-0200-00000C000000}"/>
            </a:ext>
            <a:ext uri="{147F2762-F138-4A5C-976F-8EAC2B608ADB}">
              <a16:predDERef xmlns:a16="http://schemas.microsoft.com/office/drawing/2014/main" pred="{00000000-0008-0000-0300-000003000000}"/>
            </a:ext>
          </a:extLst>
        </xdr:cNvPr>
        <xdr:cNvSpPr txBox="1"/>
      </xdr:nvSpPr>
      <xdr:spPr>
        <a:xfrm>
          <a:off x="190501" y="4905376"/>
          <a:ext cx="5848349" cy="301624"/>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The fluid level in the well is above the base of freshwater or USDW, or the fluid level in the well is unknown</a:t>
          </a:r>
        </a:p>
      </xdr:txBody>
    </xdr:sp>
    <xdr:clientData/>
  </xdr:twoCellAnchor>
  <xdr:twoCellAnchor>
    <xdr:from>
      <xdr:col>1</xdr:col>
      <xdr:colOff>25401</xdr:colOff>
      <xdr:row>20</xdr:row>
      <xdr:rowOff>38102</xdr:rowOff>
    </xdr:from>
    <xdr:to>
      <xdr:col>5</xdr:col>
      <xdr:colOff>520700</xdr:colOff>
      <xdr:row>21</xdr:row>
      <xdr:rowOff>1</xdr:rowOff>
    </xdr:to>
    <xdr:sp macro="" textlink="">
      <xdr:nvSpPr>
        <xdr:cNvPr id="13" name="TextBox 12">
          <a:extLst>
            <a:ext uri="{FF2B5EF4-FFF2-40B4-BE49-F238E27FC236}">
              <a16:creationId xmlns:a16="http://schemas.microsoft.com/office/drawing/2014/main" id="{00000000-0008-0000-0200-00000D000000}"/>
            </a:ext>
            <a:ext uri="{147F2762-F138-4A5C-976F-8EAC2B608ADB}">
              <a16:predDERef xmlns:a16="http://schemas.microsoft.com/office/drawing/2014/main" pred="{00000000-0008-0000-0300-000003000000}"/>
            </a:ext>
          </a:extLst>
        </xdr:cNvPr>
        <xdr:cNvSpPr txBox="1"/>
      </xdr:nvSpPr>
      <xdr:spPr>
        <a:xfrm>
          <a:off x="196851" y="5162552"/>
          <a:ext cx="5848349" cy="200024"/>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Age of the well, calculated from the spud date </a:t>
          </a:r>
        </a:p>
      </xdr:txBody>
    </xdr:sp>
    <xdr:clientData/>
  </xdr:twoCellAnchor>
  <xdr:twoCellAnchor>
    <xdr:from>
      <xdr:col>1</xdr:col>
      <xdr:colOff>28575</xdr:colOff>
      <xdr:row>23</xdr:row>
      <xdr:rowOff>47625</xdr:rowOff>
    </xdr:from>
    <xdr:to>
      <xdr:col>5</xdr:col>
      <xdr:colOff>523874</xdr:colOff>
      <xdr:row>24</xdr:row>
      <xdr:rowOff>22224</xdr:rowOff>
    </xdr:to>
    <xdr:sp macro="" textlink="">
      <xdr:nvSpPr>
        <xdr:cNvPr id="14" name="TextBox 13">
          <a:extLst>
            <a:ext uri="{FF2B5EF4-FFF2-40B4-BE49-F238E27FC236}">
              <a16:creationId xmlns:a16="http://schemas.microsoft.com/office/drawing/2014/main" id="{00000000-0008-0000-0200-00000E000000}"/>
            </a:ext>
            <a:ext uri="{147F2762-F138-4A5C-976F-8EAC2B608ADB}">
              <a16:predDERef xmlns:a16="http://schemas.microsoft.com/office/drawing/2014/main" pred="{00000000-0008-0000-0300-000003000000}"/>
            </a:ext>
          </a:extLst>
        </xdr:cNvPr>
        <xdr:cNvSpPr txBox="1"/>
      </xdr:nvSpPr>
      <xdr:spPr>
        <a:xfrm>
          <a:off x="200025" y="5819775"/>
          <a:ext cx="5848349" cy="212724"/>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History of recorded environmental spill or leaks</a:t>
          </a:r>
        </a:p>
      </xdr:txBody>
    </xdr:sp>
    <xdr:clientData/>
  </xdr:twoCellAnchor>
  <xdr:twoCellAnchor>
    <xdr:from>
      <xdr:col>1</xdr:col>
      <xdr:colOff>19050</xdr:colOff>
      <xdr:row>24</xdr:row>
      <xdr:rowOff>38100</xdr:rowOff>
    </xdr:from>
    <xdr:to>
      <xdr:col>5</xdr:col>
      <xdr:colOff>514349</xdr:colOff>
      <xdr:row>25</xdr:row>
      <xdr:rowOff>168275</xdr:rowOff>
    </xdr:to>
    <xdr:sp macro="" textlink="">
      <xdr:nvSpPr>
        <xdr:cNvPr id="15" name="TextBox 14">
          <a:extLst>
            <a:ext uri="{FF2B5EF4-FFF2-40B4-BE49-F238E27FC236}">
              <a16:creationId xmlns:a16="http://schemas.microsoft.com/office/drawing/2014/main" id="{00000000-0008-0000-0200-00000F000000}"/>
            </a:ext>
            <a:ext uri="{147F2762-F138-4A5C-976F-8EAC2B608ADB}">
              <a16:predDERef xmlns:a16="http://schemas.microsoft.com/office/drawing/2014/main" pred="{00000000-0008-0000-0300-000003000000}"/>
            </a:ext>
          </a:extLst>
        </xdr:cNvPr>
        <xdr:cNvSpPr txBox="1"/>
      </xdr:nvSpPr>
      <xdr:spPr>
        <a:xfrm>
          <a:off x="190500" y="6048375"/>
          <a:ext cx="5848349" cy="215900"/>
        </a:xfrm>
        <a:prstGeom prst="rect">
          <a:avLst/>
        </a:prstGeom>
        <a:solidFill>
          <a:schemeClr val="accent1">
            <a:lumMod val="50000"/>
          </a:schemeClr>
        </a:solidFill>
        <a:ln w="9525" cmpd="sng">
          <a:noFill/>
        </a:ln>
      </xdr:spPr>
      <xdr:txBody>
        <a:bodyPr vertOverflow="clip" horzOverflow="clip" wrap="square" lIns="91440" tIns="45720" rIns="91440" bIns="45720" rtlCol="0" anchor="ctr">
          <a:noAutofit/>
        </a:bodyPr>
        <a:lstStyle/>
        <a:p>
          <a:pPr marL="0" indent="0" algn="l">
            <a:lnSpc>
              <a:spcPts val="800"/>
            </a:lnSpc>
            <a:spcBef>
              <a:spcPts val="0"/>
            </a:spcBef>
          </a:pPr>
          <a:r>
            <a:rPr lang="en-US" sz="1000">
              <a:solidFill>
                <a:schemeClr val="bg1"/>
              </a:solidFill>
              <a:latin typeface="+mn-lt"/>
              <a:ea typeface="+mn-lt"/>
              <a:cs typeface="+mn-lt"/>
            </a:rPr>
            <a:t>Presence of &gt;100 ppm H2S or CO2 production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225135</xdr:colOff>
      <xdr:row>21</xdr:row>
      <xdr:rowOff>13854</xdr:rowOff>
    </xdr:from>
    <xdr:to>
      <xdr:col>16</xdr:col>
      <xdr:colOff>355022</xdr:colOff>
      <xdr:row>45</xdr:row>
      <xdr:rowOff>155862</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278423</xdr:colOff>
      <xdr:row>24</xdr:row>
      <xdr:rowOff>8659</xdr:rowOff>
    </xdr:from>
    <xdr:to>
      <xdr:col>10</xdr:col>
      <xdr:colOff>109903</xdr:colOff>
      <xdr:row>42</xdr:row>
      <xdr:rowOff>77932</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5575788" y="4199659"/>
          <a:ext cx="439615" cy="2970735"/>
        </a:xfrm>
        <a:prstGeom prst="rect">
          <a:avLst/>
        </a:prstGeom>
        <a:solidFill>
          <a:srgbClr val="C5E0B4">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124558</xdr:colOff>
      <xdr:row>24</xdr:row>
      <xdr:rowOff>17317</xdr:rowOff>
    </xdr:from>
    <xdr:to>
      <xdr:col>13</xdr:col>
      <xdr:colOff>109904</xdr:colOff>
      <xdr:row>42</xdr:row>
      <xdr:rowOff>77931</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6030058" y="4208317"/>
          <a:ext cx="1809750" cy="2962076"/>
        </a:xfrm>
        <a:prstGeom prst="rect">
          <a:avLst/>
        </a:prstGeom>
        <a:solidFill>
          <a:srgbClr val="FFFF99">
            <a:alpha val="33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124558</xdr:colOff>
      <xdr:row>24</xdr:row>
      <xdr:rowOff>17318</xdr:rowOff>
    </xdr:from>
    <xdr:to>
      <xdr:col>14</xdr:col>
      <xdr:colOff>432954</xdr:colOff>
      <xdr:row>42</xdr:row>
      <xdr:rowOff>77932</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7854462" y="4208318"/>
          <a:ext cx="916530" cy="2962076"/>
        </a:xfrm>
        <a:prstGeom prst="rect">
          <a:avLst/>
        </a:prstGeom>
        <a:solidFill>
          <a:schemeClr val="accent2">
            <a:lumMod val="60000"/>
            <a:lumOff val="40000"/>
            <a:alpha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450272</xdr:colOff>
      <xdr:row>24</xdr:row>
      <xdr:rowOff>17318</xdr:rowOff>
    </xdr:from>
    <xdr:to>
      <xdr:col>15</xdr:col>
      <xdr:colOff>571500</xdr:colOff>
      <xdr:row>42</xdr:row>
      <xdr:rowOff>80596</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8788310" y="4208318"/>
          <a:ext cx="729363" cy="2964740"/>
        </a:xfrm>
        <a:prstGeom prst="rect">
          <a:avLst/>
        </a:prstGeom>
        <a:solidFill>
          <a:srgbClr val="FF0000">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45507</xdr:colOff>
      <xdr:row>1</xdr:row>
      <xdr:rowOff>62441</xdr:rowOff>
    </xdr:from>
    <xdr:to>
      <xdr:col>5</xdr:col>
      <xdr:colOff>410406</xdr:colOff>
      <xdr:row>4</xdr:row>
      <xdr:rowOff>123825</xdr:rowOff>
    </xdr:to>
    <xdr:pic>
      <xdr:nvPicPr>
        <xdr:cNvPr id="3" name="Picture 2" descr="Logo">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45507" y="263524"/>
          <a:ext cx="2667303" cy="858309"/>
        </a:xfrm>
        <a:prstGeom prst="rect">
          <a:avLst/>
        </a:prstGeom>
      </xdr:spPr>
    </xdr:pic>
    <xdr:clientData/>
  </xdr:twoCellAnchor>
  <xdr:twoCellAnchor>
    <xdr:from>
      <xdr:col>35</xdr:col>
      <xdr:colOff>27516</xdr:colOff>
      <xdr:row>8</xdr:row>
      <xdr:rowOff>26457</xdr:rowOff>
    </xdr:from>
    <xdr:to>
      <xdr:col>40</xdr:col>
      <xdr:colOff>98425</xdr:colOff>
      <xdr:row>9</xdr:row>
      <xdr:rowOff>115357</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6907933" y="1730374"/>
          <a:ext cx="1446742" cy="522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chemeClr val="bg1"/>
              </a:solidFill>
              <a:latin typeface="+mn-lt"/>
            </a:rPr>
            <a:t>Other Environmental</a:t>
          </a:r>
        </a:p>
        <a:p>
          <a:r>
            <a:rPr lang="en-US" sz="1050" b="1">
              <a:solidFill>
                <a:schemeClr val="bg1"/>
              </a:solidFill>
              <a:latin typeface="+mn-lt"/>
            </a:rPr>
            <a:t>/ Safety Concerns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107084</xdr:colOff>
      <xdr:row>1</xdr:row>
      <xdr:rowOff>47221</xdr:rowOff>
    </xdr:from>
    <xdr:to>
      <xdr:col>3</xdr:col>
      <xdr:colOff>0</xdr:colOff>
      <xdr:row>4</xdr:row>
      <xdr:rowOff>183925</xdr:rowOff>
    </xdr:to>
    <xdr:pic>
      <xdr:nvPicPr>
        <xdr:cNvPr id="2" name="Picture 1" descr="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364259" y="237721"/>
          <a:ext cx="2664691" cy="8415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107084</xdr:colOff>
      <xdr:row>1</xdr:row>
      <xdr:rowOff>47220</xdr:rowOff>
    </xdr:from>
    <xdr:to>
      <xdr:col>3</xdr:col>
      <xdr:colOff>733425</xdr:colOff>
      <xdr:row>4</xdr:row>
      <xdr:rowOff>165084</xdr:rowOff>
    </xdr:to>
    <xdr:pic>
      <xdr:nvPicPr>
        <xdr:cNvPr id="2" name="Picture 1" descr="Logo">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361084" y="240895"/>
          <a:ext cx="2522874" cy="8163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107084</xdr:colOff>
      <xdr:row>1</xdr:row>
      <xdr:rowOff>47220</xdr:rowOff>
    </xdr:from>
    <xdr:to>
      <xdr:col>4</xdr:col>
      <xdr:colOff>295276</xdr:colOff>
      <xdr:row>4</xdr:row>
      <xdr:rowOff>168717</xdr:rowOff>
    </xdr:to>
    <xdr:pic>
      <xdr:nvPicPr>
        <xdr:cNvPr id="2" name="Picture 1" descr="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61084" y="240895"/>
          <a:ext cx="2489008" cy="8231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107084</xdr:colOff>
      <xdr:row>1</xdr:row>
      <xdr:rowOff>47220</xdr:rowOff>
    </xdr:from>
    <xdr:to>
      <xdr:col>3</xdr:col>
      <xdr:colOff>0</xdr:colOff>
      <xdr:row>4</xdr:row>
      <xdr:rowOff>178015</xdr:rowOff>
    </xdr:to>
    <xdr:pic>
      <xdr:nvPicPr>
        <xdr:cNvPr id="2" name="Picture 1" descr="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364259" y="237720"/>
          <a:ext cx="2645641" cy="8324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BCC05FC-2147-4207-8006-7FC736B64749}" name="Table4" displayName="Table4" ref="B12:AR30" totalsRowShown="0" tableBorderDxfId="106">
  <autoFilter ref="B12:AR30" xr:uid="{FBCC05FC-2147-4207-8006-7FC736B64749}"/>
  <tableColumns count="43">
    <tableColumn id="1" xr3:uid="{1931F077-C622-47AF-909C-3356250C5FEA}" name="Column1" dataDxfId="105"/>
    <tableColumn id="2" xr3:uid="{826AE76A-10DC-4C09-9196-50D8FE767D59}" name="Column2" dataDxfId="104"/>
    <tableColumn id="3" xr3:uid="{7B9B679C-7982-497F-BE96-4D9FA13FD8CD}" name="Column3" dataDxfId="103">
      <calculatedColumnFormula>#REF!</calculatedColumnFormula>
    </tableColumn>
    <tableColumn id="4" xr3:uid="{3AED9A01-238D-41D7-A206-719122C525F5}" name="Column4" dataDxfId="102"/>
    <tableColumn id="5" xr3:uid="{0482B50F-71DD-42EB-82BA-CD0002884BA4}" name="Column5" dataDxfId="101"/>
    <tableColumn id="6" xr3:uid="{A02A7F97-E9F1-4BAD-8755-AF1485AA568B}" name="Column6" dataDxfId="100"/>
    <tableColumn id="7" xr3:uid="{2B67B290-D3D3-4840-BDBE-5676CD0502A7}" name="Column7" dataDxfId="99"/>
    <tableColumn id="8" xr3:uid="{31C9510F-823C-4C25-95AE-7BD964E409C7}" name="Column8" dataDxfId="98"/>
    <tableColumn id="9" xr3:uid="{F010C7AA-4DC8-45F2-BFC1-26A33A6283DC}" name="Column9" dataDxfId="97"/>
    <tableColumn id="10" xr3:uid="{F7B0F6F2-F037-41B3-9E50-A479AD707223}" name="Column10" dataDxfId="96">
      <calculatedColumnFormula>YEAR(L13)</calculatedColumnFormula>
    </tableColumn>
    <tableColumn id="11" xr3:uid="{E938A994-60A5-4837-962A-E950C87D427D}" name="Column11" dataDxfId="95">
      <calculatedColumnFormula>J13</calculatedColumnFormula>
    </tableColumn>
    <tableColumn id="12" xr3:uid="{F0348323-EDF8-4D0D-B4F7-A76FB84B7DCC}" name="Column12" dataDxfId="94" dataCellStyle="Comma"/>
    <tableColumn id="13" xr3:uid="{D29A7E81-13A8-4A6E-8D72-A13ABF518163}" name="Column13" dataDxfId="93"/>
    <tableColumn id="14" xr3:uid="{33DA6790-0592-433C-8BA9-D014CF0424DD}" name="Column14" dataDxfId="92">
      <calculatedColumnFormula>VLOOKUP(Table4[[#This Row],[Column2]],'Well P&amp;A Background'!$T$5:$V$7,3,FALSE)</calculatedColumnFormula>
    </tableColumn>
    <tableColumn id="15" xr3:uid="{224B4C61-3EA6-4769-AD02-8E50862B6354}" name="Column15" dataDxfId="91" dataCellStyle="Comma">
      <calculatedColumnFormula>VLOOKUP(Table4[[#This Row],[Column2]],'Well P&amp;A Background'!$T$5:$V$7,2,FALSE)</calculatedColumnFormula>
    </tableColumn>
    <tableColumn id="28" xr3:uid="{C9686690-BD77-4BDA-8E65-9D0DC6927053}" name="Column28" dataDxfId="90">
      <calculatedColumnFormula>IFERROR((J13-I13)/365,"")</calculatedColumnFormula>
    </tableColumn>
    <tableColumn id="29" xr3:uid="{E332F16A-4341-45D6-B896-C92E3471202A}" name="Column29" dataDxfId="89">
      <calculatedColumnFormula>IF(Q13&gt;50,"50+",IF(AND(Q13&lt;50, Q13&gt;25),"25-50",IF(Q13&lt;25,"0-25")))</calculatedColumnFormula>
    </tableColumn>
    <tableColumn id="30" xr3:uid="{0CF44144-B907-4CDD-BEA5-92151B27CE37}" name="Column30" dataDxfId="88" dataCellStyle="Hyperlink"/>
    <tableColumn id="31" xr3:uid="{090A1ACC-C77D-4D8F-871C-59C2E004E9D5}" name="Column31" dataDxfId="87"/>
    <tableColumn id="32" xr3:uid="{8453F3B0-B588-4643-8518-98BD7B2A8CDD}" name="Column32" dataDxfId="86" dataCellStyle="Comma"/>
    <tableColumn id="33" xr3:uid="{99995D54-9A6E-4196-87C4-7BCFFBC7967F}" name="Column33" dataDxfId="85"/>
    <tableColumn id="34" xr3:uid="{AB804DB6-2056-4AAB-96B7-2F93B63D7BC2}" name="Column34" dataDxfId="84">
      <calculatedColumnFormula>VLOOKUP(R13,'Well P&amp;A Background'!$T$20:$U$22,2,FALSE)</calculatedColumnFormula>
    </tableColumn>
    <tableColumn id="35" xr3:uid="{7AE636FC-9F63-42FB-9B09-45471ED05A26}" name="Column35" dataDxfId="83">
      <calculatedColumnFormula>IF(M13&lt;1001,'Well P&amp;A Background'!$U$27,IF(AND(M13&gt;1000, M13&lt;3001),'Well P&amp;A Background'!$U$28, IF(AND(M13&gt;3000, M13&lt;5001),'Well P&amp;A Background'!$U$29,'Well P&amp;A Background'!$U$30)))</calculatedColumnFormula>
    </tableColumn>
    <tableColumn id="36" xr3:uid="{78910BC8-5829-4365-8654-810B83AAB214}" name="Column36" dataDxfId="82">
      <calculatedColumnFormula>IF(U13&lt;3,'Well P&amp;A Background'!$U$35,IF(AND(U13&gt;2, U13&lt;5),'Well P&amp;A Background'!$U$36,'Well P&amp;A Background'!$U$37))</calculatedColumnFormula>
    </tableColumn>
    <tableColumn id="37" xr3:uid="{7D7FC627-79C8-4237-A12D-78D6D46D0425}" name="Column37" dataDxfId="81"/>
    <tableColumn id="38" xr3:uid="{E2045714-0962-4868-83D1-133ADC2892A4}" name="Column38" dataDxfId="80"/>
    <tableColumn id="39" xr3:uid="{06011484-320A-4347-A46B-A5F39AA4B7FF}" name="Column39" dataDxfId="79"/>
    <tableColumn id="40" xr3:uid="{C5F12F6E-5F15-4B45-B7E0-812FB3FBE857}" name="Column40" dataDxfId="78"/>
    <tableColumn id="41" xr3:uid="{E1EBA1F2-FF6A-48B4-A568-4B821D20FD4A}" name="Column41" dataDxfId="77"/>
    <tableColumn id="42" xr3:uid="{417161FC-90E8-482F-909D-2CF84CA29657}" name="Column42" dataDxfId="76"/>
    <tableColumn id="44" xr3:uid="{AA9E78AE-D821-4EAA-B72A-7D5397FFBE5E}" name="Column44" dataDxfId="75"/>
    <tableColumn id="45" xr3:uid="{AD4A464F-14A5-4A0C-87EE-5FBE7DDC99E7}" name="Column45" dataDxfId="74"/>
    <tableColumn id="46" xr3:uid="{67374DC5-98CF-4A19-A7C3-58C5838D9589}" name="Column46" dataDxfId="73"/>
    <tableColumn id="47" xr3:uid="{593C05D6-E842-4E42-9B66-E7379194A47D}" name="Column47" dataDxfId="72"/>
    <tableColumn id="48" xr3:uid="{FF78BA12-BE15-4535-A163-0C6D88A64FF7}" name="Column48" dataDxfId="71"/>
    <tableColumn id="49" xr3:uid="{C595C713-E58F-40EA-A275-78BADDF80261}" name="Column49" dataDxfId="70"/>
    <tableColumn id="50" xr3:uid="{5F476159-B014-4F06-8430-16824C020383}" name="Column50" dataDxfId="69"/>
    <tableColumn id="51" xr3:uid="{A3B5905A-7090-4AFE-A87B-ED7B318E90F6}" name="Column51" dataDxfId="68"/>
    <tableColumn id="52" xr3:uid="{F02B3F37-A52C-42BE-859F-987F8738238B}" name="Column52" dataDxfId="67"/>
    <tableColumn id="53" xr3:uid="{1080D548-A7C0-4FF5-9D5C-60A155DAF3F5}" name="Column53" dataDxfId="66">
      <calculatedColumnFormula>SUMIF(AA13:AM13,"Y",$AA$11:$AM$11)+SUM(W13:Y13)</calculatedColumnFormula>
    </tableColumn>
    <tableColumn id="54" xr3:uid="{4E4E08FF-35C9-4E69-A784-45608A4FDE09}" name="Column54" dataDxfId="65">
      <calculatedColumnFormula>VLOOKUP(AO13,'Well P&amp;A Background'!$B$15:$C$100,2)</calculatedColumnFormula>
    </tableColumn>
    <tableColumn id="55" xr3:uid="{B1AA1866-F432-44EF-93A6-B3BDA1768B42}" name="Column55" dataDxfId="64">
      <calculatedColumnFormula>IFERROR(AP13*P13,0)</calculatedColumnFormula>
    </tableColumn>
    <tableColumn id="56" xr3:uid="{87B9608F-C198-4134-BFA1-34332C1B7C96}" name="Column43" dataDxfId="63" dataCellStyle="Currency">
      <calculatedColumnFormula>IFERROR(ROUND(AQ13*O13,0),0)</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5498E2-4E64-4AA1-8FCE-4FDF77298B4C}" name="Table2" displayName="Table2" ref="B12:W30" totalsRowShown="0" headerRowDxfId="62" dataDxfId="61" tableBorderDxfId="60">
  <autoFilter ref="B12:W30" xr:uid="{795498E2-4E64-4AA1-8FCE-4FDF77298B4C}"/>
  <tableColumns count="22">
    <tableColumn id="1" xr3:uid="{37B7D06C-4BA5-4D29-84B8-C500A8B8793A}" name="Column1" dataDxfId="59"/>
    <tableColumn id="2" xr3:uid="{DA0465B2-DAF4-45E0-8AAA-332F3DBF71E7}" name="Column2" dataDxfId="58"/>
    <tableColumn id="3" xr3:uid="{161A4B77-B4E2-4C67-AEBA-C94B54E0FF57}" name="Column3" dataDxfId="57"/>
    <tableColumn id="4" xr3:uid="{B43B4E97-570D-414D-8BDB-35613AD68D53}" name="Column4" dataDxfId="56"/>
    <tableColumn id="5" xr3:uid="{FC61F07D-1DD4-4735-8C81-EC8571A4ADA2}" name="Column5" dataDxfId="55"/>
    <tableColumn id="6" xr3:uid="{62785B30-9CF7-4280-AFBB-54C6806CBB9A}" name="Column6" dataDxfId="54">
      <calculatedColumnFormula>$I$46</calculatedColumnFormula>
    </tableColumn>
    <tableColumn id="7" xr3:uid="{B9E35000-80DB-4356-A911-22C466601630}" name="Column7" dataDxfId="53">
      <calculatedColumnFormula>$I$47</calculatedColumnFormula>
    </tableColumn>
    <tableColumn id="8" xr3:uid="{0EB08818-D1F0-48AD-B832-95E11C6B27D0}" name="Column8" dataDxfId="52">
      <calculatedColumnFormula>$I$48</calculatedColumnFormula>
    </tableColumn>
    <tableColumn id="9" xr3:uid="{9151E6FE-B86F-4D48-9E1A-2FDBCD0FC488}" name="Column9" dataDxfId="51">
      <calculatedColumnFormula>K13*$I$49</calculatedColumnFormula>
    </tableColumn>
    <tableColumn id="10" xr3:uid="{6FF8E7C0-EDF8-4EC2-A24D-24380FC9BA11}" name="Column10" dataDxfId="50"/>
    <tableColumn id="11" xr3:uid="{584E9B1A-2789-46C5-806F-67BBEFEFA0EB}" name="Column11" dataDxfId="49"/>
    <tableColumn id="12" xr3:uid="{6DC5E74D-18BD-41A0-87FC-ECA1126D79CB}" name="Column12" dataDxfId="48">
      <calculatedColumnFormula>$T$48</calculatedColumnFormula>
    </tableColumn>
    <tableColumn id="13" xr3:uid="{A3797FAA-9048-4ED0-9BCE-D1EA5B64D2D1}" name="Column13" dataDxfId="47"/>
    <tableColumn id="14" xr3:uid="{5E51D786-D343-43D7-9C60-B3A624763235}" name="Column14" dataDxfId="46"/>
    <tableColumn id="15" xr3:uid="{1025AA24-1673-4ACE-859B-C7AA42FBF7F0}" name="Column15" dataDxfId="45"/>
    <tableColumn id="16" xr3:uid="{4826A82A-DA60-49D5-AE70-94BF6B6FB879}" name="Column16" dataDxfId="44"/>
    <tableColumn id="17" xr3:uid="{F8322740-911B-4AE5-939D-36522C4622C0}" name="Column17" dataDxfId="43">
      <calculatedColumnFormula>$T$45</calculatedColumnFormula>
    </tableColumn>
    <tableColumn id="18" xr3:uid="{6BCE6376-6872-48A0-94F6-01BF5E7D2220}" name="Column18" dataDxfId="42">
      <calculatedColumnFormula>$T$46</calculatedColumnFormula>
    </tableColumn>
    <tableColumn id="19" xr3:uid="{EA157145-94AA-4765-95D1-2A293AE98C93}" name="Column19" dataDxfId="41">
      <calculatedColumnFormula>$T$47</calculatedColumnFormula>
    </tableColumn>
    <tableColumn id="20" xr3:uid="{3C1AE5DE-A9A6-4298-8B2B-A42D1458B072}" name="Column20" dataDxfId="40"/>
    <tableColumn id="21" xr3:uid="{E40C8C84-4C8A-4C4B-94A7-5BAD2A402F80}" name="Column21" dataDxfId="39">
      <calculatedColumnFormula>((G13*$G$10)+(H13*$H$10)+(I13*$I$10)+(J13*$J$10)+(N13*$N$10)+(K13*$K$10)+(M13*$M$10)+(O13*$O$10))+(((G13*$G$10)+(H13*$H$10)+(I13*$I$10)+(J13*$J$10)+(N13*$N$10)+(K13*$K$10)+(M13*$M$10)+(O13*$O$10))*Q13)+(((G13*$G$10)+(H13*$H$10)+(I13*$I$10)+(J13*$J$10)+(N13*$N$10)+(K13*$K$10)+(M13*$M$10)+(O13*$O$10))*R13)+(((G13*$G$10)+(H13*$H$10)+(I13*$I$10)+(J13*$J$10)+(N13*$N$10)+(K13*$K$10)+(M13*$M$10)+(O13*$O$10))*S13)+(((G13*$G$10)+(H13*$H$10)+(I13*$I$10)+(J13*$J$10)+(N13*$N$10)+(K13*$K$10)+(M13*$M$10)+(O13*$O$10))*T13)</calculatedColumnFormula>
    </tableColumn>
    <tableColumn id="22" xr3:uid="{3E4EB85F-D338-46E5-925C-D060DDD53630}" name="Column22" dataDxfId="38">
      <calculatedColumnFormula>ROUND(V13,0)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A45088-7292-4C48-A78D-31C88189F654}" name="Table14" displayName="Table14" ref="B12:AK30" totalsRowShown="0" tableBorderDxfId="37">
  <autoFilter ref="B12:AK30" xr:uid="{39DE00FD-8CA5-45B2-8639-6D4E96D0078D}"/>
  <tableColumns count="36">
    <tableColumn id="1" xr3:uid="{B07FB5B8-33D0-4775-8786-91E6862626F3}" name="Column1" dataDxfId="36"/>
    <tableColumn id="2" xr3:uid="{087A4301-3272-4F3A-A50F-C025EA397F0B}" name="Column2" dataDxfId="35"/>
    <tableColumn id="3" xr3:uid="{8E2C630A-4B29-426E-9463-3D956BBBF317}" name="Column3" dataDxfId="34"/>
    <tableColumn id="4" xr3:uid="{B568A76E-37AA-40F5-B937-3AC81F992A93}" name="Column4" dataDxfId="33"/>
    <tableColumn id="5" xr3:uid="{CBE6486D-0E71-4285-9F28-FAB209B06CD9}" name="Column5" dataDxfId="32"/>
    <tableColumn id="6" xr3:uid="{A1C6DB07-AD04-4FCD-92FE-8AEF9A6E6BB7}" name="Column6" dataDxfId="31"/>
    <tableColumn id="7" xr3:uid="{D2745D8E-35A9-4B4E-A6E5-1F982ED059C6}" name="Column7" dataDxfId="30"/>
    <tableColumn id="8" xr3:uid="{3D3F2744-4405-4FAD-B800-40A6C13BBFAA}" name="Column8" dataDxfId="29"/>
    <tableColumn id="9" xr3:uid="{5BCAEEDC-A172-49FB-BDAE-828AA3E47BC6}" name="Column9" dataDxfId="28"/>
    <tableColumn id="10" xr3:uid="{DA826327-F58F-4433-9F12-D48F1B9AA96E}" name="Column10" dataDxfId="27"/>
    <tableColumn id="11" xr3:uid="{A1467CD6-09D0-4624-810B-B54FFABB0A19}" name="Column11" dataDxfId="26">
      <calculatedColumnFormula>(SUM(G13:J13)*$H$46)+(SUM(K13*$J$46))</calculatedColumnFormula>
    </tableColumn>
    <tableColumn id="12" xr3:uid="{391CCF67-20A4-43AF-B223-2E7C37F05B06}" name="Column12" dataDxfId="25">
      <calculatedColumnFormula>(SUM(G13:J13)*$H$47)+(SUM(K13*$J$47))</calculatedColumnFormula>
    </tableColumn>
    <tableColumn id="13" xr3:uid="{1C68576A-5BAA-47A3-8630-64FBB7B36D7C}" name="Column13" dataDxfId="24">
      <calculatedColumnFormula>(SUM(G13:J13)*$H$48)+(SUM(K13*$J$48))</calculatedColumnFormula>
    </tableColumn>
    <tableColumn id="14" xr3:uid="{4EECB978-AED3-4F41-80DE-C1B14F14C8CF}" name="Column14" dataDxfId="23"/>
    <tableColumn id="15" xr3:uid="{377EE5DB-88C0-4B4A-9A32-1ABCE70BADCB}" name="Column15" dataDxfId="22"/>
    <tableColumn id="16" xr3:uid="{F0E56705-6008-4F25-B6A3-75AD10E51363}" name="Column16" dataDxfId="21"/>
    <tableColumn id="17" xr3:uid="{A68E0B1E-B79D-453A-B88F-1BB7A5D1955C}" name="Column17" dataDxfId="20"/>
    <tableColumn id="18" xr3:uid="{BCF9F745-476E-455E-97DE-D8DFB88006E9}" name="Column18" dataDxfId="19">
      <calculatedColumnFormula>G13</calculatedColumnFormula>
    </tableColumn>
    <tableColumn id="19" xr3:uid="{CCCB8610-F6BE-4050-8366-9CBB3C174A2F}" name="Column19" dataDxfId="18">
      <calculatedColumnFormula>H13</calculatedColumnFormula>
    </tableColumn>
    <tableColumn id="20" xr3:uid="{BFE23D26-6177-4AD8-82B3-305EC0C490B2}" name="Column20" dataDxfId="17">
      <calculatedColumnFormula>I13</calculatedColumnFormula>
    </tableColumn>
    <tableColumn id="21" xr3:uid="{EC69FA54-902F-42E0-81C5-B6F92EF43ACE}" name="Column21" dataDxfId="16">
      <calculatedColumnFormula>J13</calculatedColumnFormula>
    </tableColumn>
    <tableColumn id="22" xr3:uid="{B54F02B6-D588-4B6E-A4C1-733E067ECE5F}" name="Column22" dataDxfId="15">
      <calculatedColumnFormula>K13</calculatedColumnFormula>
    </tableColumn>
    <tableColumn id="23" xr3:uid="{31F2F230-3418-44AE-BFB2-7E6FE543B852}" name="Column23" dataDxfId="14"/>
    <tableColumn id="24" xr3:uid="{020ED8DF-3D0D-4BF8-ACAC-9DF6FE5923BC}" name="Column24" dataDxfId="13"/>
    <tableColumn id="25" xr3:uid="{2888EDCC-E20B-43ED-8CE3-238283C5B01E}" name="Column25" dataDxfId="12"/>
    <tableColumn id="26" xr3:uid="{97F83107-6218-4ACC-BD7D-7E4095C02C20}" name="Column26" dataDxfId="11"/>
    <tableColumn id="27" xr3:uid="{8CBC8B70-65F8-4B63-BC80-DD2D234427F0}" name="Column27" dataDxfId="10"/>
    <tableColumn id="28" xr3:uid="{03DE3D6A-0418-41D2-AF5E-5237F8559532}" name="Column28" dataDxfId="9">
      <calculatedColumnFormula>$T$45</calculatedColumnFormula>
    </tableColumn>
    <tableColumn id="29" xr3:uid="{D472B864-2027-43B5-BF77-69D206CF36F1}" name="Column29" dataDxfId="8">
      <calculatedColumnFormula>$T$46</calculatedColumnFormula>
    </tableColumn>
    <tableColumn id="30" xr3:uid="{810B84B8-1790-45A1-9F17-B33CC71D5428}" name="Column30" dataDxfId="7">
      <calculatedColumnFormula>$T$47</calculatedColumnFormula>
    </tableColumn>
    <tableColumn id="31" xr3:uid="{642E8727-EB42-4598-97E4-F6A359F2C01A}" name="Column31" dataDxfId="6"/>
    <tableColumn id="32" xr3:uid="{FC4A15B0-244C-43BB-8A4C-E26F4D2C2133}" name="Column32" dataDxfId="5">
      <calculatedColumnFormula>((G13*$G$10)+(H13*$H$10)+(I13*$I$10)+(J13*$J$10)+(K13*$K$10)+(L13*$L$10)+(M13*$M$10)+(N13*$N$10)+(O13*$O$10)+(P13*$P$10)+(Q13*$Q$10))+(((G13*$G$10)+(H13*$H$10)+(I13*$I$10)+(J13*$J$10)+(K13*$K$10)+(L13*$L$10)+(M13*$M$10)+(N13*$N$10)+(O13*$O$10)+(P13*$P$10)+(Q13*$Q$10))*AB13)+(((G13*$G$10)+(H13*$H$10)+(I13*$I$10)+(J13*$J$10)+(K13*$K$10)+(L13*$L$10)+(M13*$M$10)+(N13*$N$10)+(O13*$O$10)+(P13*$P$10)+(Q13*$Q$10))*AC13)+(((G13*$G$10)+(H13*$H$10)+(I13*$I$10)+(J13*$J$10)+(K13*$K$10)+(L13*$L$10)+(M13*$M$10)+(N13*$N$10)+(O13*$O$10)+(P13*$P$10)+(Q13*$Q$10))*AD13)+(((G13*$G$10)+(H13*$H$10)+(I13*$I$10)+(J13*$J$10)+(K13*$K$10)+(L13*$L$10)+(M13*$M$10)+(N13*$N$10)+(O13*$O$10)+(P13*$P$10)+(Q13*$Q$10))*AE13)</calculatedColumnFormula>
    </tableColumn>
    <tableColumn id="33" xr3:uid="{44DDE882-5B55-4BAE-B06E-00D3ECB333CF}" name="Column33" dataDxfId="4">
      <calculatedColumnFormula>((S13*$S$10)+(T13*$T$10)+(U13*$U$10)+(V13*$V$10)+(W13*$W$10)+(X13*$X$10)+(Y13*$Y$10)+(Z13*$Z$10))+(((S13*$S$10)+(T13*$T$10)+(U13*$U$10)+(V13*$V$10)+(W13*$W$10)+(X13*$X$10)+(Y13*$Y$10)+(Z13*$Z$10))*AB13)+(((S13*$S$10)+(T13*$T$10)+(U13*$U$10)+(V13*$V$10)+(W13*$W$10)+(X13*$X$10)+(Y13*$Y$10)+(Z13*$Z$10))*AC13)+(((S13*$S$10)+(T13*$T$10)+(U13*$U$10)+(V13*$V$10)+(W13*$W$10)+(X13*$X$10)+(Y13*$Y$10)+(Z13*$Z$10))*AD13)+(((S13*$S$10)+(T13*$T$10)+(U13*$U$10)+(V13*$V$10)+(W13*$W$10)+(X13*$X$10)+(Y13*$Y$10)+(Z13*$Z$10))*AE13)</calculatedColumnFormula>
    </tableColumn>
    <tableColumn id="34" xr3:uid="{3E4CF041-7085-4E5A-B4D1-6BE0F6F947B8}" name="Column34" dataDxfId="3">
      <calculatedColumnFormula>ROUND(AG13,0)</calculatedColumnFormula>
    </tableColumn>
    <tableColumn id="35" xr3:uid="{908B4582-4455-4839-9A61-01FCD9334676}" name="Column35" dataDxfId="2">
      <calculatedColumnFormula>ROUND(AH13,0)</calculatedColumnFormula>
    </tableColumn>
    <tableColumn id="36" xr3:uid="{91AE9CDB-421C-482C-833B-92F73FEB3C91}" name="Column36" dataDxfId="1">
      <calculatedColumnFormula>ROUND(SUM(AI13:AJ13),0)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lGEMCostEstimates@conservation.ca.gov"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table" Target="../tables/table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B0EF2-8557-473B-B6D2-0D04FEA531BE}">
  <sheetPr codeName="Sheet11">
    <pageSetUpPr fitToPage="1"/>
  </sheetPr>
  <dimension ref="A1:AB34"/>
  <sheetViews>
    <sheetView showGridLines="0" tabSelected="1" zoomScale="80" zoomScaleNormal="80" workbookViewId="0">
      <selection activeCell="H27" sqref="H27"/>
    </sheetView>
  </sheetViews>
  <sheetFormatPr defaultColWidth="9.1796875" defaultRowHeight="20" x14ac:dyDescent="0.4"/>
  <cols>
    <col min="1" max="1" width="3.6328125" style="235" customWidth="1"/>
    <col min="2" max="2" width="4.1796875" style="235" customWidth="1"/>
    <col min="3" max="3" width="60.81640625" style="235" customWidth="1"/>
    <col min="4" max="4" width="17.453125" style="235" customWidth="1"/>
    <col min="5" max="7" width="13.7265625" style="235" customWidth="1"/>
    <col min="8" max="8" width="16.26953125" style="235" customWidth="1"/>
    <col min="9" max="9" width="14.1796875" style="235" customWidth="1"/>
    <col min="10" max="10" width="1.54296875" style="235" customWidth="1"/>
    <col min="11" max="18" width="9.1796875" style="235"/>
    <col min="19" max="19" width="9.1796875" style="235" customWidth="1"/>
    <col min="20" max="20" width="1.54296875" style="235" customWidth="1"/>
    <col min="21" max="16384" width="9.1796875" style="235"/>
  </cols>
  <sheetData>
    <row r="1" spans="1:28" ht="5.25" customHeight="1" thickBot="1" x14ac:dyDescent="0.45">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row>
    <row r="2" spans="1:28" ht="40.5" customHeight="1" thickTop="1" x14ac:dyDescent="0.6">
      <c r="B2" s="234"/>
      <c r="C2" s="234"/>
      <c r="D2" s="234"/>
      <c r="E2" s="234"/>
      <c r="F2" s="234"/>
      <c r="G2" s="234"/>
      <c r="H2" s="234"/>
      <c r="I2" s="234"/>
      <c r="J2" s="234"/>
      <c r="K2" s="234"/>
      <c r="L2" s="234"/>
      <c r="M2" s="801"/>
      <c r="N2" s="802"/>
      <c r="O2" s="802"/>
      <c r="P2" s="802"/>
      <c r="Q2" s="802"/>
      <c r="R2" s="802"/>
      <c r="AB2" s="803" t="s">
        <v>0</v>
      </c>
    </row>
    <row r="3" spans="1:28" ht="31.5" customHeight="1" x14ac:dyDescent="0.4">
      <c r="C3" s="234"/>
      <c r="D3" s="234"/>
      <c r="E3" s="234"/>
      <c r="F3" s="234"/>
      <c r="G3" s="234"/>
      <c r="H3" s="234"/>
      <c r="I3" s="234"/>
      <c r="J3" s="234"/>
      <c r="K3" s="234"/>
      <c r="L3" s="234"/>
      <c r="M3" s="236"/>
      <c r="N3" s="236"/>
      <c r="O3" s="236"/>
      <c r="P3" s="236"/>
      <c r="Q3" s="236"/>
      <c r="R3" s="236"/>
      <c r="AB3" s="846" t="s">
        <v>384</v>
      </c>
    </row>
    <row r="4" spans="1:28" ht="14.5" customHeight="1" thickBot="1" x14ac:dyDescent="0.45">
      <c r="A4" s="818"/>
      <c r="B4" s="815"/>
      <c r="C4" s="816"/>
      <c r="D4" s="816"/>
      <c r="E4" s="816"/>
      <c r="F4" s="816"/>
      <c r="G4" s="816"/>
      <c r="H4" s="816"/>
      <c r="I4" s="816"/>
      <c r="J4" s="816"/>
      <c r="K4" s="816"/>
      <c r="L4" s="816"/>
      <c r="M4" s="816"/>
      <c r="N4" s="816"/>
      <c r="O4" s="816"/>
      <c r="P4" s="816"/>
      <c r="Q4" s="816"/>
      <c r="R4" s="816"/>
      <c r="S4" s="815"/>
      <c r="T4" s="815"/>
      <c r="U4" s="815"/>
      <c r="V4" s="815"/>
      <c r="W4" s="815"/>
      <c r="X4" s="815"/>
      <c r="Y4" s="815"/>
      <c r="Z4" s="877"/>
      <c r="AA4" s="815"/>
      <c r="AB4" s="817" t="s">
        <v>388</v>
      </c>
    </row>
    <row r="5" spans="1:28" ht="6" customHeight="1" thickTop="1" x14ac:dyDescent="0.4">
      <c r="A5" s="804"/>
    </row>
    <row r="6" spans="1:28" s="237" customFormat="1" ht="36.75" customHeight="1" x14ac:dyDescent="0.4">
      <c r="A6" s="804"/>
      <c r="B6" s="805"/>
      <c r="C6" s="805"/>
      <c r="D6" s="805"/>
    </row>
    <row r="7" spans="1:28" ht="39.75" customHeight="1" x14ac:dyDescent="0.4">
      <c r="A7" s="804"/>
      <c r="B7" s="805"/>
      <c r="C7" s="805"/>
      <c r="D7" s="805"/>
    </row>
    <row r="8" spans="1:28" x14ac:dyDescent="0.4">
      <c r="A8" s="804"/>
      <c r="B8" s="237"/>
      <c r="C8" s="237"/>
      <c r="D8" s="237"/>
    </row>
    <row r="9" spans="1:28" x14ac:dyDescent="0.4">
      <c r="A9" s="804"/>
      <c r="B9" s="237"/>
      <c r="C9" s="237"/>
      <c r="D9" s="237"/>
    </row>
    <row r="10" spans="1:28" x14ac:dyDescent="0.4">
      <c r="A10" s="804"/>
      <c r="B10" s="237"/>
      <c r="C10" s="237"/>
      <c r="D10" s="237"/>
    </row>
    <row r="11" spans="1:28" ht="40.5" customHeight="1" x14ac:dyDescent="0.4">
      <c r="A11" s="804"/>
      <c r="B11" s="806"/>
      <c r="C11" s="806"/>
      <c r="D11" s="806"/>
    </row>
    <row r="12" spans="1:28" x14ac:dyDescent="0.4">
      <c r="A12" s="804"/>
      <c r="B12" s="805"/>
      <c r="C12" s="805"/>
      <c r="D12" s="805"/>
    </row>
    <row r="13" spans="1:28" x14ac:dyDescent="0.4">
      <c r="A13" s="804"/>
      <c r="B13" s="807"/>
      <c r="C13" s="808"/>
      <c r="D13" s="809"/>
    </row>
    <row r="14" spans="1:28" ht="39.75" customHeight="1" x14ac:dyDescent="0.4">
      <c r="A14" s="804"/>
      <c r="B14" s="805"/>
      <c r="C14" s="805"/>
      <c r="D14" s="805"/>
    </row>
    <row r="15" spans="1:28" ht="39.75" customHeight="1" x14ac:dyDescent="0.4">
      <c r="B15" s="237"/>
      <c r="C15" s="237"/>
      <c r="D15" s="237"/>
    </row>
    <row r="16" spans="1:28" ht="13.5" customHeight="1" x14ac:dyDescent="0.4">
      <c r="A16" s="810"/>
      <c r="B16" s="237"/>
      <c r="C16" s="237"/>
      <c r="D16" s="129"/>
    </row>
    <row r="17" spans="1:22" ht="6" customHeight="1" x14ac:dyDescent="0.4">
      <c r="L17" s="129"/>
      <c r="V17" s="129"/>
    </row>
    <row r="27" spans="1:22" ht="30.75" customHeight="1" x14ac:dyDescent="0.4"/>
    <row r="28" spans="1:22" hidden="1" x14ac:dyDescent="0.4"/>
    <row r="29" spans="1:22" hidden="1" x14ac:dyDescent="0.4"/>
    <row r="30" spans="1:22" hidden="1" x14ac:dyDescent="0.4">
      <c r="A30" s="235" t="s">
        <v>1</v>
      </c>
    </row>
    <row r="32" spans="1:22" s="812" customFormat="1" ht="21.5" x14ac:dyDescent="0.45">
      <c r="A32" s="811"/>
    </row>
    <row r="33" spans="1:1" ht="0.75" customHeight="1" x14ac:dyDescent="0.4"/>
    <row r="34" spans="1:1" s="814" customFormat="1" ht="18" customHeight="1" x14ac:dyDescent="0.35">
      <c r="A34" s="813"/>
    </row>
  </sheetData>
  <sheetProtection algorithmName="SHA-512" hashValue="V7LWPG6YCfOcOy7gjMukJqQKkE3KgRjQD4nc4DR3sjguBIhbPcTe9M2UiCCQA96mAf/J7yfHzFgnmWUmVgSA7Q==" saltValue="QvDUEq1NMoCHkrli4xu7pA==" spinCount="100000" sheet="1" objects="1" scenarios="1" selectLockedCells="1" selectUnlockedCells="1"/>
  <hyperlinks>
    <hyperlink ref="AB3" r:id="rId1" xr:uid="{F576D89D-48E8-4525-93B6-FB34785467C7}"/>
  </hyperlinks>
  <pageMargins left="0.25" right="0.25" top="0.75" bottom="0.75" header="0.3" footer="0.3"/>
  <pageSetup scale="42"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81E12-CD29-4D93-8421-5E685F82E0FF}">
  <sheetPr codeName="Sheet10">
    <pageSetUpPr fitToPage="1"/>
  </sheetPr>
  <dimension ref="B1:L25"/>
  <sheetViews>
    <sheetView zoomScaleNormal="100" workbookViewId="0">
      <selection activeCell="E17" sqref="E17"/>
    </sheetView>
  </sheetViews>
  <sheetFormatPr defaultColWidth="9.1796875" defaultRowHeight="14.5" x14ac:dyDescent="0.35"/>
  <cols>
    <col min="1" max="2" width="3.7265625" style="1" customWidth="1"/>
    <col min="3" max="3" width="107.54296875" style="1" customWidth="1"/>
    <col min="4" max="4" width="2.81640625" style="1" customWidth="1"/>
    <col min="5" max="6" width="16.1796875" style="63" customWidth="1"/>
    <col min="7" max="7" width="9.1796875" style="1" customWidth="1"/>
    <col min="8" max="8" width="9.54296875" style="1" hidden="1" customWidth="1"/>
    <col min="9" max="9" width="9.1796875" style="1" hidden="1" customWidth="1"/>
    <col min="10" max="10" width="9.1796875" style="1" collapsed="1"/>
    <col min="11" max="16384" width="9.1796875" style="1"/>
  </cols>
  <sheetData>
    <row r="1" spans="2:9" ht="15" thickBot="1" x14ac:dyDescent="0.4">
      <c r="B1" s="6"/>
      <c r="C1" s="6"/>
      <c r="D1" s="6"/>
      <c r="E1" s="49"/>
      <c r="F1" s="49"/>
      <c r="G1" s="5"/>
    </row>
    <row r="2" spans="2:9" ht="15" customHeight="1" thickTop="1" x14ac:dyDescent="0.35">
      <c r="E2" s="50"/>
      <c r="F2" s="50"/>
      <c r="G2" s="50"/>
      <c r="H2" s="50"/>
      <c r="I2" s="50"/>
    </row>
    <row r="3" spans="2:9" ht="14.5" customHeight="1" x14ac:dyDescent="0.35">
      <c r="C3" s="51"/>
      <c r="D3" s="51"/>
      <c r="E3" s="51"/>
      <c r="F3" s="51"/>
      <c r="G3" s="50"/>
      <c r="H3" s="50"/>
      <c r="I3" s="50"/>
    </row>
    <row r="4" spans="2:9" ht="21" customHeight="1" x14ac:dyDescent="0.5">
      <c r="B4" s="51"/>
      <c r="C4" s="79" t="s">
        <v>171</v>
      </c>
      <c r="D4" s="51"/>
      <c r="E4" s="51"/>
      <c r="F4" s="51"/>
      <c r="G4" s="52"/>
      <c r="H4" s="52"/>
      <c r="I4" s="52"/>
    </row>
    <row r="5" spans="2:9" ht="14.5" customHeight="1" x14ac:dyDescent="0.35">
      <c r="C5" s="51"/>
      <c r="D5" s="51"/>
      <c r="E5" s="51"/>
      <c r="F5" s="51"/>
      <c r="G5" s="50"/>
      <c r="H5" s="50"/>
      <c r="I5" s="50"/>
    </row>
    <row r="6" spans="2:9" ht="15" customHeight="1" thickBot="1" x14ac:dyDescent="0.4">
      <c r="B6" s="6"/>
      <c r="C6" s="6"/>
      <c r="D6" s="6"/>
      <c r="E6" s="53"/>
      <c r="F6" s="53"/>
      <c r="G6" s="50"/>
      <c r="H6" s="50"/>
      <c r="I6" s="50"/>
    </row>
    <row r="7" spans="2:9" ht="17.5" thickTop="1" x14ac:dyDescent="0.35">
      <c r="E7" s="7"/>
      <c r="F7" s="7"/>
      <c r="G7" s="7"/>
      <c r="H7" s="7"/>
      <c r="I7" s="7"/>
    </row>
    <row r="8" spans="2:9" s="54" customFormat="1" ht="20.149999999999999" customHeight="1" x14ac:dyDescent="0.35">
      <c r="B8" s="141" t="s">
        <v>333</v>
      </c>
      <c r="C8" s="99"/>
      <c r="D8" s="99"/>
      <c r="E8" s="116" t="s">
        <v>172</v>
      </c>
      <c r="F8" s="116" t="s">
        <v>173</v>
      </c>
      <c r="H8" s="55" t="s">
        <v>14</v>
      </c>
      <c r="I8" s="56" t="s">
        <v>92</v>
      </c>
    </row>
    <row r="9" spans="2:9" s="54" customFormat="1" ht="8.15" customHeight="1" x14ac:dyDescent="0.35">
      <c r="B9" s="117"/>
      <c r="C9" s="92"/>
      <c r="D9" s="118"/>
      <c r="E9" s="57"/>
      <c r="F9" s="57"/>
      <c r="H9" s="55"/>
    </row>
    <row r="10" spans="2:9" s="54" customFormat="1" ht="27" customHeight="1" x14ac:dyDescent="0.35">
      <c r="B10" s="117"/>
      <c r="C10" s="779" t="s">
        <v>374</v>
      </c>
      <c r="D10" s="120"/>
      <c r="E10" s="115" t="s">
        <v>190</v>
      </c>
      <c r="F10" s="58" t="str">
        <f>IF(E10="Yes","10","0")</f>
        <v>10</v>
      </c>
      <c r="H10" s="59">
        <v>10</v>
      </c>
      <c r="I10" s="56" t="s">
        <v>175</v>
      </c>
    </row>
    <row r="11" spans="2:9" s="9" customFormat="1" ht="15" customHeight="1" x14ac:dyDescent="0.35">
      <c r="B11" s="117"/>
      <c r="C11" s="775" t="s">
        <v>375</v>
      </c>
      <c r="D11" s="120"/>
      <c r="E11" s="115" t="s">
        <v>174</v>
      </c>
      <c r="F11" s="58" t="str">
        <f>IF(E11="Yes","10","0")</f>
        <v>0</v>
      </c>
      <c r="H11" s="59">
        <v>10</v>
      </c>
      <c r="I11" s="56" t="s">
        <v>176</v>
      </c>
    </row>
    <row r="12" spans="2:9" s="9" customFormat="1" ht="26.5" customHeight="1" x14ac:dyDescent="0.35">
      <c r="B12" s="117"/>
      <c r="C12" s="776" t="s">
        <v>376</v>
      </c>
      <c r="D12" s="120"/>
      <c r="E12" s="115" t="s">
        <v>174</v>
      </c>
      <c r="F12" s="58" t="str">
        <f>IF(E12="Yes","10","0")</f>
        <v>0</v>
      </c>
      <c r="H12" s="59">
        <v>10</v>
      </c>
      <c r="I12" s="56" t="s">
        <v>177</v>
      </c>
    </row>
    <row r="13" spans="2:9" s="9" customFormat="1" ht="15" customHeight="1" x14ac:dyDescent="0.35">
      <c r="B13" s="117"/>
      <c r="C13" s="776" t="s">
        <v>377</v>
      </c>
      <c r="D13" s="120"/>
      <c r="E13" s="115" t="s">
        <v>174</v>
      </c>
      <c r="F13" s="58" t="str">
        <f>IF(E13="Yes","5","0")</f>
        <v>0</v>
      </c>
      <c r="H13" s="59">
        <v>5</v>
      </c>
      <c r="I13" s="56" t="s">
        <v>178</v>
      </c>
    </row>
    <row r="14" spans="2:9" s="9" customFormat="1" ht="15" customHeight="1" x14ac:dyDescent="0.35">
      <c r="B14" s="117"/>
      <c r="C14" s="778" t="s">
        <v>378</v>
      </c>
      <c r="D14" s="120"/>
      <c r="E14" s="115" t="s">
        <v>174</v>
      </c>
      <c r="F14" s="58" t="str">
        <f>IF(E14="Yes","5","0")</f>
        <v>0</v>
      </c>
      <c r="H14" s="59">
        <v>5</v>
      </c>
      <c r="I14" s="56" t="s">
        <v>179</v>
      </c>
    </row>
    <row r="15" spans="2:9" s="9" customFormat="1" ht="28" customHeight="1" x14ac:dyDescent="0.35">
      <c r="B15" s="117"/>
      <c r="C15" s="777" t="s">
        <v>379</v>
      </c>
      <c r="D15" s="120"/>
      <c r="E15" s="115" t="s">
        <v>174</v>
      </c>
      <c r="F15" s="58" t="str">
        <f>IF(E15="Yes","5","0")</f>
        <v>0</v>
      </c>
      <c r="H15" s="59">
        <v>5</v>
      </c>
      <c r="I15" s="56" t="s">
        <v>180</v>
      </c>
    </row>
    <row r="16" spans="2:9" s="9" customFormat="1" ht="15" customHeight="1" x14ac:dyDescent="0.35">
      <c r="B16" s="117"/>
      <c r="C16" s="777" t="s">
        <v>380</v>
      </c>
      <c r="D16" s="120"/>
      <c r="E16" s="115" t="s">
        <v>174</v>
      </c>
      <c r="F16" s="58" t="str">
        <f>IF(E16="Yes","5","0")</f>
        <v>0</v>
      </c>
      <c r="H16" s="59">
        <v>5</v>
      </c>
      <c r="I16" s="56" t="s">
        <v>181</v>
      </c>
    </row>
    <row r="17" spans="2:12" s="9" customFormat="1" ht="15" customHeight="1" x14ac:dyDescent="0.35">
      <c r="B17" s="117"/>
      <c r="C17" s="886" t="s">
        <v>381</v>
      </c>
      <c r="D17" s="120"/>
      <c r="E17" s="115" t="s">
        <v>174</v>
      </c>
      <c r="F17" s="58" t="str">
        <f>IF(E17="Yes","5","0")</f>
        <v>0</v>
      </c>
      <c r="H17" s="59">
        <v>5</v>
      </c>
      <c r="I17" s="56" t="s">
        <v>182</v>
      </c>
    </row>
    <row r="18" spans="2:12" s="9" customFormat="1" ht="8.15" customHeight="1" x14ac:dyDescent="0.35">
      <c r="B18" s="117"/>
      <c r="C18" s="119"/>
      <c r="D18" s="120"/>
      <c r="E18" s="60"/>
      <c r="F18" s="60"/>
      <c r="L18" s="61"/>
    </row>
    <row r="19" spans="2:12" s="9" customFormat="1" ht="14.5" customHeight="1" x14ac:dyDescent="0.35">
      <c r="B19" s="117" t="s">
        <v>183</v>
      </c>
      <c r="C19" s="119"/>
      <c r="D19" s="120"/>
      <c r="E19" s="80"/>
      <c r="F19" s="81">
        <f>F10+F14+F15+F13+F11+F16+F17+F12</f>
        <v>10</v>
      </c>
      <c r="L19" s="62"/>
    </row>
    <row r="20" spans="2:12" s="9" customFormat="1" ht="14.5" customHeight="1" x14ac:dyDescent="0.35">
      <c r="B20" s="100" t="s">
        <v>184</v>
      </c>
      <c r="C20" s="121"/>
      <c r="D20" s="122"/>
      <c r="E20" s="80"/>
      <c r="F20" s="80" t="str">
        <f>IF(F19&gt;19, "30%", IF(F19&gt;9,"20%", "10%"))</f>
        <v>20%</v>
      </c>
      <c r="L20" s="62"/>
    </row>
    <row r="21" spans="2:12" ht="15" thickBot="1" x14ac:dyDescent="0.4"/>
    <row r="22" spans="2:12" ht="20.149999999999999" customHeight="1" x14ac:dyDescent="0.35">
      <c r="B22" s="27"/>
      <c r="C22" s="128"/>
      <c r="D22" s="30"/>
      <c r="E22" s="123" t="s">
        <v>185</v>
      </c>
      <c r="F22" s="124"/>
    </row>
    <row r="23" spans="2:12" s="9" customFormat="1" ht="17.149999999999999" customHeight="1" x14ac:dyDescent="0.35">
      <c r="B23" s="82"/>
      <c r="C23" s="61"/>
      <c r="D23" s="75"/>
      <c r="E23" s="64" t="s">
        <v>186</v>
      </c>
      <c r="F23" s="65">
        <v>0.1</v>
      </c>
    </row>
    <row r="24" spans="2:12" s="9" customFormat="1" ht="17.149999999999999" customHeight="1" x14ac:dyDescent="0.35">
      <c r="B24" s="82"/>
      <c r="C24" s="61"/>
      <c r="E24" s="66" t="s">
        <v>187</v>
      </c>
      <c r="F24" s="65">
        <v>0.2</v>
      </c>
    </row>
    <row r="25" spans="2:12" s="9" customFormat="1" ht="17.149999999999999" customHeight="1" thickBot="1" x14ac:dyDescent="0.4">
      <c r="B25" s="82"/>
      <c r="C25" s="61"/>
      <c r="E25" s="67" t="s">
        <v>188</v>
      </c>
      <c r="F25" s="68">
        <v>0.3</v>
      </c>
    </row>
  </sheetData>
  <sheetProtection algorithmName="SHA-512" hashValue="6rNVZQAxMvHoPEPHh+nPy6cC0o5bKWAxac28FCUJ+K1FX4327aMIw17PwZEpwVV6dZNMgTqtmHYXPldMDfFi3w==" saltValue="EE4M6a8B0NRKNOXJKG474w==" spinCount="100000" sheet="1" objects="1" scenarios="1" selectLockedCells="1"/>
  <conditionalFormatting sqref="E20:F20">
    <cfRule type="expression" dxfId="0" priority="1">
      <formula>$E$20</formula>
    </cfRule>
  </conditionalFormatting>
  <dataValidations count="1">
    <dataValidation type="list" allowBlank="1" showInputMessage="1" showErrorMessage="1" sqref="E10:E17" xr:uid="{5EF6B73D-65CB-48B6-832F-92AEA7D2C649}">
      <formula1>"Yes, No"</formula1>
    </dataValidation>
  </dataValidations>
  <pageMargins left="0.7" right="0.7" top="0.75" bottom="0.75"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EE94-7D87-4A3D-9A03-B06FC6C3B963}">
  <dimension ref="B1:D20"/>
  <sheetViews>
    <sheetView zoomScale="90" zoomScaleNormal="90" workbookViewId="0">
      <selection activeCell="D16" sqref="D16"/>
    </sheetView>
  </sheetViews>
  <sheetFormatPr defaultRowHeight="14.5" x14ac:dyDescent="0.35"/>
  <cols>
    <col min="1" max="1" width="3.6328125" style="129" customWidth="1"/>
    <col min="2" max="2" width="38.6328125" style="129" customWidth="1"/>
    <col min="3" max="3" width="0.81640625" style="129" customWidth="1"/>
    <col min="4" max="4" width="63.6328125" style="129" customWidth="1"/>
    <col min="5" max="16384" width="8.7265625" style="129"/>
  </cols>
  <sheetData>
    <row r="1" spans="2:4" ht="18.5" thickBot="1" x14ac:dyDescent="0.4">
      <c r="B1" s="239"/>
      <c r="C1" s="239"/>
      <c r="D1" s="240"/>
    </row>
    <row r="2" spans="2:4" ht="15" customHeight="1" thickTop="1" x14ac:dyDescent="0.35">
      <c r="B2" s="842"/>
      <c r="C2" s="842"/>
      <c r="D2" s="842"/>
    </row>
    <row r="3" spans="2:4" ht="14.5" customHeight="1" x14ac:dyDescent="0.35">
      <c r="B3" s="843"/>
      <c r="C3" s="843"/>
      <c r="D3" s="843"/>
    </row>
    <row r="4" spans="2:4" ht="20" customHeight="1" x14ac:dyDescent="0.55000000000000004">
      <c r="B4" s="843"/>
      <c r="C4" s="843"/>
      <c r="D4" s="845" t="s">
        <v>383</v>
      </c>
    </row>
    <row r="5" spans="2:4" ht="14.5" customHeight="1" x14ac:dyDescent="0.35">
      <c r="B5" s="843"/>
      <c r="C5" s="843"/>
      <c r="D5" s="843"/>
    </row>
    <row r="6" spans="2:4" ht="15" customHeight="1" thickBot="1" x14ac:dyDescent="0.4">
      <c r="B6" s="844"/>
      <c r="C6" s="844"/>
      <c r="D6" s="844"/>
    </row>
    <row r="7" spans="2:4" ht="19" thickTop="1" thickBot="1" x14ac:dyDescent="0.4">
      <c r="B7" s="242"/>
      <c r="C7" s="242"/>
      <c r="D7" s="243"/>
    </row>
    <row r="8" spans="2:4" ht="18.5" thickTop="1" x14ac:dyDescent="0.35">
      <c r="B8" s="244" t="s">
        <v>2</v>
      </c>
      <c r="C8" s="241"/>
      <c r="D8" s="131" t="s">
        <v>279</v>
      </c>
    </row>
    <row r="9" spans="2:4" ht="5" customHeight="1" thickBot="1" x14ac:dyDescent="0.4">
      <c r="B9" s="241"/>
      <c r="C9" s="241"/>
      <c r="D9" s="241"/>
    </row>
    <row r="10" spans="2:4" ht="18.5" thickTop="1" x14ac:dyDescent="0.35">
      <c r="B10" s="244" t="s">
        <v>3</v>
      </c>
      <c r="C10" s="241"/>
      <c r="D10" s="233" t="s">
        <v>280</v>
      </c>
    </row>
    <row r="11" spans="2:4" ht="5" customHeight="1" thickBot="1" x14ac:dyDescent="0.4">
      <c r="B11" s="241"/>
      <c r="C11" s="241"/>
      <c r="D11" s="241"/>
    </row>
    <row r="12" spans="2:4" ht="18.5" thickTop="1" x14ac:dyDescent="0.35">
      <c r="B12" s="244" t="s">
        <v>4</v>
      </c>
      <c r="C12" s="241"/>
      <c r="D12" s="131"/>
    </row>
    <row r="13" spans="2:4" ht="5" customHeight="1" thickBot="1" x14ac:dyDescent="0.4">
      <c r="B13" s="241"/>
      <c r="C13" s="241"/>
      <c r="D13" s="241"/>
    </row>
    <row r="14" spans="2:4" ht="18.5" thickTop="1" x14ac:dyDescent="0.35">
      <c r="B14" s="244" t="s">
        <v>6</v>
      </c>
      <c r="C14" s="241"/>
      <c r="D14" s="131"/>
    </row>
    <row r="15" spans="2:4" ht="5" customHeight="1" thickBot="1" x14ac:dyDescent="0.4">
      <c r="B15" s="241"/>
      <c r="C15" s="241"/>
      <c r="D15" s="241"/>
    </row>
    <row r="16" spans="2:4" ht="18.5" thickTop="1" x14ac:dyDescent="0.35">
      <c r="B16" s="244" t="s">
        <v>7</v>
      </c>
      <c r="C16" s="241"/>
      <c r="D16" s="131"/>
    </row>
    <row r="17" spans="2:4" ht="5" customHeight="1" thickBot="1" x14ac:dyDescent="0.4">
      <c r="B17" s="241"/>
      <c r="C17" s="241"/>
      <c r="D17" s="241"/>
    </row>
    <row r="18" spans="2:4" ht="18.5" thickTop="1" x14ac:dyDescent="0.35">
      <c r="B18" s="244" t="s">
        <v>8</v>
      </c>
      <c r="C18" s="241"/>
      <c r="D18" s="131"/>
    </row>
    <row r="19" spans="2:4" ht="5" customHeight="1" thickBot="1" x14ac:dyDescent="0.4">
      <c r="B19" s="241"/>
      <c r="C19" s="241"/>
      <c r="D19" s="241"/>
    </row>
    <row r="20" spans="2:4" ht="18.5" thickTop="1" x14ac:dyDescent="0.35">
      <c r="B20" s="244" t="s">
        <v>9</v>
      </c>
      <c r="C20" s="241"/>
      <c r="D20" s="148"/>
    </row>
  </sheetData>
  <sheetProtection algorithmName="SHA-512" hashValue="8CxglST7Nw3OpEyjMWA/mN6UWtkMvRVBkzB9fVZTxC0fK6qKsrZe5RovtQMNFYcxuxs/qJrrMwz/xrVx/WTR+A==" saltValue="Y52msIXe/X3dfbro2CMItA==" spinCount="100000" sheet="1" objects="1" scenarios="1" formatColumns="0" selectLockedCells="1"/>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DE2362D-C507-4AA4-AFAF-B4B5C177C702}">
          <x14:formula1>
            <xm:f>'Well P&amp;A Background'!$T$5:$T$7</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F635-B421-4DE0-AD45-CABDBBB38745}">
  <sheetPr codeName="Sheet4">
    <tabColor rgb="FF002060"/>
    <pageSetUpPr fitToPage="1"/>
  </sheetPr>
  <dimension ref="A1:DA134"/>
  <sheetViews>
    <sheetView showGridLines="0" topLeftCell="A18" zoomScaleNormal="100" workbookViewId="0">
      <selection activeCell="D38" sqref="D38"/>
    </sheetView>
  </sheetViews>
  <sheetFormatPr defaultColWidth="8.7265625" defaultRowHeight="14.5" x14ac:dyDescent="0.35"/>
  <cols>
    <col min="1" max="1" width="3.6328125" style="149" customWidth="1"/>
    <col min="2" max="2" width="34.7265625" style="245" customWidth="1"/>
    <col min="3" max="3" width="7.7265625" style="245" customWidth="1"/>
    <col min="4" max="4" width="22" style="245" customWidth="1"/>
    <col min="5" max="5" width="12.1796875" style="245" customWidth="1"/>
    <col min="6" max="6" width="7.54296875" style="245" customWidth="1"/>
    <col min="7" max="7" width="9.7265625" style="347" customWidth="1"/>
    <col min="8" max="8" width="7.1796875" style="348" customWidth="1"/>
    <col min="9" max="9" width="2.81640625" style="347" customWidth="1"/>
    <col min="10" max="10" width="0.54296875" style="347" customWidth="1"/>
    <col min="11" max="11" width="13.453125" style="347" customWidth="1"/>
    <col min="12" max="12" width="0.81640625" style="245" customWidth="1"/>
    <col min="13" max="13" width="8.7265625" style="129" hidden="1" customWidth="1"/>
    <col min="14" max="14" width="18.54296875" style="129" hidden="1" customWidth="1"/>
    <col min="15" max="15" width="9.1796875" style="129" hidden="1" customWidth="1"/>
    <col min="16" max="16" width="26.453125" style="129" hidden="1" customWidth="1"/>
    <col min="17" max="17" width="8" style="129" hidden="1" customWidth="1"/>
    <col min="18" max="18" width="7.81640625" style="129" customWidth="1"/>
    <col min="19" max="20" width="11.453125" style="129" customWidth="1"/>
    <col min="21" max="40" width="18.54296875" style="129" customWidth="1"/>
    <col min="41" max="105" width="8.7265625" style="129"/>
    <col min="106" max="16384" width="8.7265625" style="245"/>
  </cols>
  <sheetData>
    <row r="1" spans="1:105" s="129" customFormat="1" ht="8.25" customHeight="1" thickBot="1" x14ac:dyDescent="0.4">
      <c r="H1" s="791"/>
    </row>
    <row r="2" spans="1:105" ht="75.75" customHeight="1" thickTop="1" thickBot="1" x14ac:dyDescent="0.4">
      <c r="B2" s="246"/>
      <c r="C2" s="608" t="s">
        <v>271</v>
      </c>
      <c r="D2" s="453"/>
      <c r="E2" s="247"/>
      <c r="F2" s="247"/>
      <c r="G2" s="247"/>
      <c r="H2" s="247"/>
      <c r="I2" s="247"/>
      <c r="J2" s="247"/>
      <c r="K2" s="247"/>
      <c r="L2" s="247"/>
      <c r="P2" s="742"/>
      <c r="Q2" s="742"/>
    </row>
    <row r="3" spans="1:105" s="780" customFormat="1" ht="6.75" customHeight="1" thickTop="1" thickBot="1" x14ac:dyDescent="0.4">
      <c r="A3" s="788"/>
      <c r="B3" s="788"/>
      <c r="C3" s="788"/>
      <c r="D3" s="788"/>
      <c r="E3" s="788"/>
      <c r="F3" s="788"/>
      <c r="G3" s="788"/>
      <c r="H3" s="793"/>
      <c r="I3" s="788"/>
      <c r="J3" s="788"/>
      <c r="K3" s="788"/>
      <c r="L3" s="788"/>
      <c r="M3" s="788"/>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row>
    <row r="4" spans="1:105" ht="16.5" thickTop="1" thickBot="1" x14ac:dyDescent="0.4">
      <c r="B4" s="798" t="s">
        <v>12</v>
      </c>
      <c r="C4" s="798"/>
      <c r="D4" s="129"/>
      <c r="E4" s="129"/>
      <c r="F4" s="129"/>
      <c r="G4" s="454">
        <v>3000</v>
      </c>
      <c r="H4" s="794">
        <f>IF(G4&lt;1001,Q17,IF(AND(G4&gt;1000, G4&lt;3001), Q18, IF(AND(G4&gt;3000, G4&lt;5001), Q19,Q20)))</f>
        <v>4</v>
      </c>
      <c r="I4" s="795"/>
      <c r="J4" s="795"/>
      <c r="K4" s="795"/>
      <c r="L4" s="799">
        <f>Q20</f>
        <v>10</v>
      </c>
      <c r="P4" s="742"/>
      <c r="Q4" s="742"/>
    </row>
    <row r="5" spans="1:105" ht="3.75" customHeight="1" thickBot="1" x14ac:dyDescent="0.4">
      <c r="B5" s="798"/>
      <c r="C5" s="798"/>
      <c r="D5" s="129"/>
      <c r="E5" s="129"/>
      <c r="F5" s="129"/>
      <c r="G5" s="238"/>
      <c r="H5" s="796"/>
      <c r="I5" s="797"/>
      <c r="J5" s="797"/>
      <c r="K5" s="797"/>
      <c r="L5" s="797"/>
      <c r="P5" s="742"/>
      <c r="Q5" s="742"/>
    </row>
    <row r="6" spans="1:105" ht="16.5" thickTop="1" thickBot="1" x14ac:dyDescent="0.4">
      <c r="B6" s="798" t="s">
        <v>13</v>
      </c>
      <c r="C6" s="798"/>
      <c r="D6" s="129"/>
      <c r="E6" s="129"/>
      <c r="F6" s="129"/>
      <c r="G6" s="454">
        <v>3</v>
      </c>
      <c r="H6" s="794">
        <f>IF(G6&lt;3,Q27,IF(AND(G6&gt;2, G6&lt;5), Q28, Q29))</f>
        <v>4</v>
      </c>
      <c r="I6" s="795"/>
      <c r="J6" s="795"/>
      <c r="K6" s="795"/>
      <c r="L6" s="799">
        <f>Q29</f>
        <v>8</v>
      </c>
      <c r="P6" s="742"/>
      <c r="Q6" s="742"/>
    </row>
    <row r="7" spans="1:105" s="129" customFormat="1" ht="4.5" customHeight="1" x14ac:dyDescent="0.35">
      <c r="A7" s="149"/>
      <c r="E7" s="787"/>
      <c r="F7" s="787"/>
      <c r="G7" s="787"/>
      <c r="H7" s="783"/>
      <c r="I7" s="787"/>
      <c r="J7" s="787"/>
      <c r="K7" s="787"/>
      <c r="P7" s="742"/>
      <c r="Q7" s="742"/>
    </row>
    <row r="8" spans="1:105" s="251" customFormat="1" ht="17" x14ac:dyDescent="0.4">
      <c r="A8" s="789"/>
      <c r="B8" s="800" t="s">
        <v>333</v>
      </c>
      <c r="C8" s="252"/>
      <c r="D8" s="252"/>
      <c r="E8" s="252"/>
      <c r="F8" s="252"/>
      <c r="G8" s="253"/>
      <c r="H8" s="455" t="s">
        <v>14</v>
      </c>
      <c r="I8" s="253"/>
      <c r="J8" s="253"/>
      <c r="K8" s="253"/>
      <c r="L8" s="254"/>
      <c r="M8" s="781"/>
      <c r="N8" s="781"/>
      <c r="O8" s="781"/>
      <c r="P8" s="782"/>
      <c r="Q8" s="783"/>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1"/>
      <c r="AQ8" s="781"/>
      <c r="AR8" s="781"/>
      <c r="AS8" s="781"/>
      <c r="AT8" s="781"/>
      <c r="AU8" s="781"/>
      <c r="AV8" s="781"/>
      <c r="AW8" s="781"/>
      <c r="AX8" s="781"/>
      <c r="AY8" s="781"/>
      <c r="AZ8" s="781"/>
      <c r="BA8" s="781"/>
      <c r="BB8" s="781"/>
      <c r="BC8" s="781"/>
      <c r="BD8" s="781"/>
      <c r="BE8" s="781"/>
      <c r="BF8" s="781"/>
      <c r="BG8" s="781"/>
      <c r="BH8" s="781"/>
      <c r="BI8" s="781"/>
      <c r="BJ8" s="781"/>
      <c r="BK8" s="781"/>
      <c r="BL8" s="781"/>
      <c r="BM8" s="781"/>
      <c r="BN8" s="781"/>
      <c r="BO8" s="781"/>
      <c r="BP8" s="781"/>
      <c r="BQ8" s="781"/>
      <c r="BR8" s="781"/>
      <c r="BS8" s="781"/>
      <c r="BT8" s="781"/>
      <c r="BU8" s="781"/>
      <c r="BV8" s="781"/>
      <c r="BW8" s="781"/>
      <c r="BX8" s="781"/>
      <c r="BY8" s="781"/>
      <c r="BZ8" s="781"/>
      <c r="CA8" s="781"/>
      <c r="CB8" s="781"/>
      <c r="CC8" s="781"/>
      <c r="CD8" s="781"/>
      <c r="CE8" s="781"/>
      <c r="CF8" s="781"/>
      <c r="CG8" s="781"/>
      <c r="CH8" s="781"/>
      <c r="CI8" s="781"/>
      <c r="CJ8" s="781"/>
      <c r="CK8" s="781"/>
      <c r="CL8" s="781"/>
      <c r="CM8" s="781"/>
      <c r="CN8" s="781"/>
      <c r="CO8" s="781"/>
      <c r="CP8" s="781"/>
      <c r="CQ8" s="781"/>
      <c r="CR8" s="781"/>
      <c r="CS8" s="781"/>
      <c r="CT8" s="781"/>
      <c r="CU8" s="781"/>
      <c r="CV8" s="781"/>
      <c r="CW8" s="781"/>
      <c r="CX8" s="781"/>
      <c r="CY8" s="781"/>
      <c r="CZ8" s="781"/>
      <c r="DA8" s="781"/>
    </row>
    <row r="9" spans="1:105" ht="3" customHeight="1" x14ac:dyDescent="0.35">
      <c r="B9" s="255"/>
      <c r="C9" s="256"/>
      <c r="D9" s="256"/>
      <c r="E9" s="256"/>
      <c r="F9" s="256"/>
      <c r="G9" s="257"/>
      <c r="H9" s="258"/>
      <c r="I9" s="259"/>
      <c r="J9" s="259"/>
      <c r="K9" s="259"/>
      <c r="L9" s="260"/>
      <c r="M9" s="819"/>
      <c r="P9" s="742"/>
      <c r="Q9" s="742"/>
    </row>
    <row r="10" spans="1:105" s="261" customFormat="1" ht="24" customHeight="1" x14ac:dyDescent="0.35">
      <c r="A10" s="149"/>
      <c r="B10" s="456" t="s">
        <v>15</v>
      </c>
      <c r="C10" s="262"/>
      <c r="D10" s="262"/>
      <c r="E10" s="262"/>
      <c r="F10" s="262"/>
      <c r="G10" s="263"/>
      <c r="H10" s="264"/>
      <c r="I10" s="263"/>
      <c r="J10" s="263"/>
      <c r="K10" s="263"/>
      <c r="L10" s="265">
        <f>SUM(L11:L14)</f>
        <v>27</v>
      </c>
      <c r="M10" s="820"/>
      <c r="N10" s="821"/>
      <c r="O10" s="821"/>
      <c r="P10" s="821"/>
      <c r="Q10" s="821"/>
      <c r="R10" s="821"/>
      <c r="S10" s="821"/>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4"/>
      <c r="AY10" s="784"/>
      <c r="AZ10" s="784"/>
      <c r="BA10" s="784"/>
      <c r="BB10" s="784"/>
      <c r="BC10" s="784"/>
      <c r="BD10" s="784"/>
      <c r="BE10" s="784"/>
      <c r="BF10" s="784"/>
      <c r="BG10" s="784"/>
      <c r="BH10" s="784"/>
      <c r="BI10" s="784"/>
      <c r="BJ10" s="784"/>
      <c r="BK10" s="784"/>
      <c r="BL10" s="784"/>
      <c r="BM10" s="784"/>
      <c r="BN10" s="784"/>
      <c r="BO10" s="784"/>
      <c r="BP10" s="784"/>
      <c r="BQ10" s="784"/>
      <c r="BR10" s="784"/>
      <c r="BS10" s="784"/>
      <c r="BT10" s="784"/>
      <c r="BU10" s="784"/>
      <c r="BV10" s="784"/>
      <c r="BW10" s="784"/>
      <c r="BX10" s="784"/>
      <c r="BY10" s="784"/>
      <c r="BZ10" s="784"/>
      <c r="CA10" s="784"/>
      <c r="CB10" s="784"/>
      <c r="CC10" s="784"/>
      <c r="CD10" s="784"/>
      <c r="CE10" s="784"/>
      <c r="CF10" s="784"/>
      <c r="CG10" s="784"/>
      <c r="CH10" s="784"/>
      <c r="CI10" s="784"/>
      <c r="CJ10" s="784"/>
      <c r="CK10" s="784"/>
      <c r="CL10" s="784"/>
      <c r="CM10" s="784"/>
      <c r="CN10" s="784"/>
      <c r="CO10" s="784"/>
      <c r="CP10" s="784"/>
      <c r="CQ10" s="784"/>
      <c r="CR10" s="784"/>
      <c r="CS10" s="784"/>
      <c r="CT10" s="784"/>
      <c r="CU10" s="784"/>
      <c r="CV10" s="784"/>
      <c r="CW10" s="784"/>
      <c r="CX10" s="784"/>
      <c r="CY10" s="784"/>
      <c r="CZ10" s="784"/>
      <c r="DA10" s="784"/>
    </row>
    <row r="11" spans="1:105" s="267" customFormat="1" ht="21" customHeight="1" x14ac:dyDescent="0.35">
      <c r="A11" s="787"/>
      <c r="B11" s="268"/>
      <c r="C11" s="269"/>
      <c r="D11" s="269"/>
      <c r="E11" s="269"/>
      <c r="F11" s="269"/>
      <c r="G11" s="457" t="s">
        <v>17</v>
      </c>
      <c r="H11" s="464">
        <f>IF(G11="Y",L11,0)</f>
        <v>10</v>
      </c>
      <c r="I11" s="259"/>
      <c r="J11" s="259"/>
      <c r="K11" s="259"/>
      <c r="L11" s="270">
        <v>10</v>
      </c>
      <c r="M11" s="822">
        <f>L11/$L$10</f>
        <v>0.37037037037037035</v>
      </c>
      <c r="N11" s="823"/>
      <c r="O11" s="823"/>
      <c r="P11" s="824" t="s">
        <v>19</v>
      </c>
      <c r="Q11" s="824"/>
      <c r="R11" s="823"/>
      <c r="S11" s="823"/>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2"/>
      <c r="BX11" s="782"/>
      <c r="BY11" s="782"/>
      <c r="BZ11" s="782"/>
      <c r="CA11" s="782"/>
      <c r="CB11" s="782"/>
      <c r="CC11" s="782"/>
      <c r="CD11" s="782"/>
      <c r="CE11" s="782"/>
      <c r="CF11" s="782"/>
      <c r="CG11" s="782"/>
      <c r="CH11" s="782"/>
      <c r="CI11" s="782"/>
      <c r="CJ11" s="782"/>
      <c r="CK11" s="782"/>
      <c r="CL11" s="782"/>
      <c r="CM11" s="782"/>
      <c r="CN11" s="782"/>
      <c r="CO11" s="782"/>
      <c r="CP11" s="782"/>
      <c r="CQ11" s="782"/>
      <c r="CR11" s="782"/>
      <c r="CS11" s="782"/>
      <c r="CT11" s="782"/>
      <c r="CU11" s="782"/>
      <c r="CV11" s="782"/>
      <c r="CW11" s="782"/>
      <c r="CX11" s="782"/>
      <c r="CY11" s="782"/>
      <c r="CZ11" s="782"/>
      <c r="DA11" s="782"/>
    </row>
    <row r="12" spans="1:105" s="267" customFormat="1" ht="21" customHeight="1" x14ac:dyDescent="0.3">
      <c r="A12" s="787"/>
      <c r="B12" s="268"/>
      <c r="C12" s="269"/>
      <c r="D12" s="269"/>
      <c r="E12" s="269"/>
      <c r="F12" s="269"/>
      <c r="G12" s="457" t="s">
        <v>17</v>
      </c>
      <c r="H12" s="464">
        <f>IF(G12="Y",L12,0)</f>
        <v>7</v>
      </c>
      <c r="I12" s="259"/>
      <c r="J12" s="259"/>
      <c r="K12" s="259"/>
      <c r="L12" s="271">
        <v>7</v>
      </c>
      <c r="M12" s="822">
        <f>L12/$L$10</f>
        <v>0.25925925925925924</v>
      </c>
      <c r="N12" s="823"/>
      <c r="O12" s="823"/>
      <c r="P12" s="825" t="s">
        <v>20</v>
      </c>
      <c r="Q12" s="826">
        <v>0</v>
      </c>
      <c r="R12" s="823"/>
      <c r="S12" s="823"/>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782"/>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c r="CG12" s="782"/>
      <c r="CH12" s="782"/>
      <c r="CI12" s="782"/>
      <c r="CJ12" s="782"/>
      <c r="CK12" s="782"/>
      <c r="CL12" s="782"/>
      <c r="CM12" s="782"/>
      <c r="CN12" s="782"/>
      <c r="CO12" s="782"/>
      <c r="CP12" s="782"/>
      <c r="CQ12" s="782"/>
      <c r="CR12" s="782"/>
      <c r="CS12" s="782"/>
      <c r="CT12" s="782"/>
      <c r="CU12" s="782"/>
      <c r="CV12" s="782"/>
      <c r="CW12" s="782"/>
      <c r="CX12" s="782"/>
      <c r="CY12" s="782"/>
      <c r="CZ12" s="782"/>
      <c r="DA12" s="782"/>
    </row>
    <row r="13" spans="1:105" s="273" customFormat="1" ht="28.5" customHeight="1" x14ac:dyDescent="0.35">
      <c r="A13" s="787"/>
      <c r="B13" s="274"/>
      <c r="C13" s="269"/>
      <c r="D13" s="269"/>
      <c r="E13" s="269"/>
      <c r="F13" s="269"/>
      <c r="G13" s="457" t="s">
        <v>16</v>
      </c>
      <c r="H13" s="464">
        <f>IF(G13="Y",L13,0)</f>
        <v>0</v>
      </c>
      <c r="I13" s="259"/>
      <c r="J13" s="259"/>
      <c r="K13" s="259"/>
      <c r="L13" s="271">
        <v>5</v>
      </c>
      <c r="M13" s="822">
        <f>L13/$L$10</f>
        <v>0.18518518518518517</v>
      </c>
      <c r="N13" s="827"/>
      <c r="O13" s="827"/>
      <c r="P13" s="825" t="s">
        <v>21</v>
      </c>
      <c r="Q13" s="828">
        <v>3</v>
      </c>
      <c r="R13" s="827"/>
      <c r="S13" s="827"/>
      <c r="T13" s="785"/>
      <c r="U13" s="785"/>
      <c r="V13" s="785"/>
      <c r="W13" s="785"/>
      <c r="X13" s="785"/>
      <c r="Y13" s="785"/>
      <c r="Z13" s="785"/>
      <c r="AA13" s="785"/>
      <c r="AB13" s="785"/>
      <c r="AC13" s="785"/>
      <c r="AD13" s="785"/>
      <c r="AE13" s="785"/>
      <c r="AF13" s="785"/>
      <c r="AG13" s="785"/>
      <c r="AH13" s="785"/>
      <c r="AI13" s="785"/>
      <c r="AJ13" s="785"/>
      <c r="AK13" s="785"/>
      <c r="AL13" s="785"/>
      <c r="AM13" s="785"/>
      <c r="AN13" s="785"/>
      <c r="AO13" s="785"/>
      <c r="AP13" s="785"/>
      <c r="AQ13" s="785"/>
      <c r="AR13" s="785"/>
      <c r="AS13" s="785"/>
      <c r="AT13" s="785"/>
      <c r="AU13" s="785"/>
      <c r="AV13" s="785"/>
      <c r="AW13" s="785"/>
      <c r="AX13" s="785"/>
      <c r="AY13" s="785"/>
      <c r="AZ13" s="785"/>
      <c r="BA13" s="785"/>
      <c r="BB13" s="785"/>
      <c r="BC13" s="785"/>
      <c r="BD13" s="785"/>
      <c r="BE13" s="785"/>
      <c r="BF13" s="785"/>
      <c r="BG13" s="785"/>
      <c r="BH13" s="785"/>
      <c r="BI13" s="785"/>
      <c r="BJ13" s="785"/>
      <c r="BK13" s="785"/>
      <c r="BL13" s="785"/>
      <c r="BM13" s="785"/>
      <c r="BN13" s="785"/>
      <c r="BO13" s="785"/>
      <c r="BP13" s="785"/>
      <c r="BQ13" s="785"/>
      <c r="BR13" s="785"/>
      <c r="BS13" s="785"/>
      <c r="BT13" s="785"/>
      <c r="BU13" s="785"/>
      <c r="BV13" s="785"/>
      <c r="BW13" s="785"/>
      <c r="BX13" s="785"/>
      <c r="BY13" s="785"/>
      <c r="BZ13" s="785"/>
      <c r="CA13" s="785"/>
      <c r="CB13" s="785"/>
      <c r="CC13" s="785"/>
      <c r="CD13" s="785"/>
      <c r="CE13" s="785"/>
      <c r="CF13" s="785"/>
      <c r="CG13" s="785"/>
      <c r="CH13" s="785"/>
      <c r="CI13" s="785"/>
      <c r="CJ13" s="785"/>
      <c r="CK13" s="785"/>
      <c r="CL13" s="785"/>
      <c r="CM13" s="785"/>
      <c r="CN13" s="785"/>
      <c r="CO13" s="785"/>
      <c r="CP13" s="785"/>
      <c r="CQ13" s="785"/>
      <c r="CR13" s="785"/>
      <c r="CS13" s="785"/>
      <c r="CT13" s="785"/>
      <c r="CU13" s="785"/>
      <c r="CV13" s="785"/>
      <c r="CW13" s="785"/>
      <c r="CX13" s="785"/>
      <c r="CY13" s="785"/>
      <c r="CZ13" s="785"/>
      <c r="DA13" s="785"/>
    </row>
    <row r="14" spans="1:105" s="267" customFormat="1" ht="27" customHeight="1" x14ac:dyDescent="0.35">
      <c r="A14" s="787"/>
      <c r="B14" s="275"/>
      <c r="C14" s="276"/>
      <c r="D14" s="276"/>
      <c r="E14" s="276"/>
      <c r="F14" s="276"/>
      <c r="G14" s="458" t="s">
        <v>16</v>
      </c>
      <c r="H14" s="465">
        <f>IF(G14="Y",L14,0)</f>
        <v>0</v>
      </c>
      <c r="I14" s="277"/>
      <c r="J14" s="277"/>
      <c r="K14" s="277"/>
      <c r="L14" s="278">
        <v>5</v>
      </c>
      <c r="M14" s="822">
        <f>L14/$L$10</f>
        <v>0.18518518518518517</v>
      </c>
      <c r="N14" s="823"/>
      <c r="O14" s="823"/>
      <c r="P14" s="825" t="s">
        <v>22</v>
      </c>
      <c r="Q14" s="828">
        <v>5</v>
      </c>
      <c r="R14" s="823"/>
      <c r="S14" s="823"/>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c r="CG14" s="782"/>
      <c r="CH14" s="782"/>
      <c r="CI14" s="782"/>
      <c r="CJ14" s="782"/>
      <c r="CK14" s="782"/>
      <c r="CL14" s="782"/>
      <c r="CM14" s="782"/>
      <c r="CN14" s="782"/>
      <c r="CO14" s="782"/>
      <c r="CP14" s="782"/>
      <c r="CQ14" s="782"/>
      <c r="CR14" s="782"/>
      <c r="CS14" s="782"/>
      <c r="CT14" s="782"/>
      <c r="CU14" s="782"/>
      <c r="CV14" s="782"/>
      <c r="CW14" s="782"/>
      <c r="CX14" s="782"/>
      <c r="CY14" s="782"/>
      <c r="CZ14" s="782"/>
      <c r="DA14" s="782"/>
    </row>
    <row r="15" spans="1:105" ht="7.5" customHeight="1" x14ac:dyDescent="0.35">
      <c r="B15" s="255"/>
      <c r="C15" s="256"/>
      <c r="D15" s="256"/>
      <c r="E15" s="256"/>
      <c r="F15" s="256"/>
      <c r="G15" s="459"/>
      <c r="H15" s="464"/>
      <c r="I15" s="259"/>
      <c r="J15" s="259"/>
      <c r="K15" s="259"/>
      <c r="L15" s="260"/>
      <c r="M15" s="829"/>
      <c r="N15" s="830"/>
      <c r="O15" s="830"/>
      <c r="P15" s="830"/>
      <c r="Q15" s="830"/>
      <c r="R15" s="830"/>
      <c r="S15" s="830"/>
    </row>
    <row r="16" spans="1:105" s="261" customFormat="1" ht="24" customHeight="1" x14ac:dyDescent="0.35">
      <c r="A16" s="149"/>
      <c r="B16" s="456" t="s">
        <v>18</v>
      </c>
      <c r="C16" s="262"/>
      <c r="D16" s="262"/>
      <c r="E16" s="262"/>
      <c r="F16" s="262"/>
      <c r="G16" s="460"/>
      <c r="H16" s="466"/>
      <c r="I16" s="263"/>
      <c r="J16" s="263"/>
      <c r="K16" s="263"/>
      <c r="L16" s="265"/>
      <c r="M16" s="820"/>
      <c r="N16" s="821"/>
      <c r="O16" s="821"/>
      <c r="P16" s="824" t="s">
        <v>23</v>
      </c>
      <c r="Q16" s="831"/>
      <c r="R16" s="821"/>
      <c r="S16" s="821"/>
      <c r="T16" s="784"/>
      <c r="U16" s="784"/>
      <c r="V16" s="784"/>
      <c r="W16" s="784"/>
      <c r="X16" s="784"/>
      <c r="Y16" s="784"/>
      <c r="Z16" s="784"/>
      <c r="AA16" s="784"/>
      <c r="AB16" s="784"/>
      <c r="AC16" s="784"/>
      <c r="AD16" s="784"/>
      <c r="AE16" s="784"/>
      <c r="AF16" s="784"/>
      <c r="AG16" s="784"/>
      <c r="AH16" s="784"/>
      <c r="AI16" s="784"/>
      <c r="AJ16" s="784"/>
      <c r="AK16" s="784"/>
      <c r="AL16" s="784"/>
      <c r="AM16" s="784"/>
      <c r="AN16" s="784"/>
      <c r="AO16" s="784"/>
      <c r="AP16" s="784"/>
      <c r="AQ16" s="784"/>
      <c r="AR16" s="784"/>
      <c r="AS16" s="784"/>
      <c r="AT16" s="784"/>
      <c r="AU16" s="784"/>
      <c r="AV16" s="784"/>
      <c r="AW16" s="784"/>
      <c r="AX16" s="784"/>
      <c r="AY16" s="784"/>
      <c r="AZ16" s="784"/>
      <c r="BA16" s="784"/>
      <c r="BB16" s="784"/>
      <c r="BC16" s="784"/>
      <c r="BD16" s="784"/>
      <c r="BE16" s="784"/>
      <c r="BF16" s="784"/>
      <c r="BG16" s="784"/>
      <c r="BH16" s="784"/>
      <c r="BI16" s="784"/>
      <c r="BJ16" s="784"/>
      <c r="BK16" s="784"/>
      <c r="BL16" s="784"/>
      <c r="BM16" s="784"/>
      <c r="BN16" s="784"/>
      <c r="BO16" s="784"/>
      <c r="BP16" s="784"/>
      <c r="BQ16" s="784"/>
      <c r="BR16" s="784"/>
      <c r="BS16" s="784"/>
      <c r="BT16" s="784"/>
      <c r="BU16" s="784"/>
      <c r="BV16" s="784"/>
      <c r="BW16" s="784"/>
      <c r="BX16" s="784"/>
      <c r="BY16" s="784"/>
      <c r="BZ16" s="784"/>
      <c r="CA16" s="784"/>
      <c r="CB16" s="784"/>
      <c r="CC16" s="784"/>
      <c r="CD16" s="784"/>
      <c r="CE16" s="784"/>
      <c r="CF16" s="784"/>
      <c r="CG16" s="784"/>
      <c r="CH16" s="784"/>
      <c r="CI16" s="784"/>
      <c r="CJ16" s="784"/>
      <c r="CK16" s="784"/>
      <c r="CL16" s="784"/>
      <c r="CM16" s="784"/>
      <c r="CN16" s="784"/>
      <c r="CO16" s="784"/>
      <c r="CP16" s="784"/>
      <c r="CQ16" s="784"/>
      <c r="CR16" s="784"/>
      <c r="CS16" s="784"/>
      <c r="CT16" s="784"/>
      <c r="CU16" s="784"/>
      <c r="CV16" s="784"/>
      <c r="CW16" s="784"/>
      <c r="CX16" s="784"/>
      <c r="CY16" s="784"/>
      <c r="CZ16" s="784"/>
      <c r="DA16" s="784"/>
    </row>
    <row r="17" spans="1:105" s="267" customFormat="1" ht="30" customHeight="1" x14ac:dyDescent="0.35">
      <c r="A17" s="787"/>
      <c r="B17" s="268"/>
      <c r="C17" s="269"/>
      <c r="D17" s="269"/>
      <c r="E17" s="269"/>
      <c r="F17" s="269"/>
      <c r="G17" s="457" t="s">
        <v>16</v>
      </c>
      <c r="H17" s="464">
        <f>IF(G17="Y",L17,0)</f>
        <v>0</v>
      </c>
      <c r="I17" s="259"/>
      <c r="J17" s="259"/>
      <c r="K17" s="281"/>
      <c r="L17" s="271">
        <v>5</v>
      </c>
      <c r="M17" s="822" t="e">
        <f t="shared" ref="M17:M21" si="0">L17/$L$16</f>
        <v>#DIV/0!</v>
      </c>
      <c r="N17" s="823"/>
      <c r="O17" s="823"/>
      <c r="P17" s="832">
        <v>0</v>
      </c>
      <c r="Q17" s="828">
        <v>0</v>
      </c>
      <c r="R17" s="823"/>
      <c r="S17" s="823"/>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c r="AX17" s="782"/>
      <c r="AY17" s="782"/>
      <c r="AZ17" s="782"/>
      <c r="BA17" s="782"/>
      <c r="BB17" s="782"/>
      <c r="BC17" s="782"/>
      <c r="BD17" s="782"/>
      <c r="BE17" s="782"/>
      <c r="BF17" s="782"/>
      <c r="BG17" s="782"/>
      <c r="BH17" s="782"/>
      <c r="BI17" s="782"/>
      <c r="BJ17" s="782"/>
      <c r="BK17" s="782"/>
      <c r="BL17" s="782"/>
      <c r="BM17" s="782"/>
      <c r="BN17" s="782"/>
      <c r="BO17" s="782"/>
      <c r="BP17" s="782"/>
      <c r="BQ17" s="782"/>
      <c r="BR17" s="782"/>
      <c r="BS17" s="782"/>
      <c r="BT17" s="782"/>
      <c r="BU17" s="782"/>
      <c r="BV17" s="782"/>
      <c r="BW17" s="782"/>
      <c r="BX17" s="782"/>
      <c r="BY17" s="782"/>
      <c r="BZ17" s="782"/>
      <c r="CA17" s="782"/>
      <c r="CB17" s="782"/>
      <c r="CC17" s="782"/>
      <c r="CD17" s="782"/>
      <c r="CE17" s="782"/>
      <c r="CF17" s="782"/>
      <c r="CG17" s="782"/>
      <c r="CH17" s="782"/>
      <c r="CI17" s="782"/>
      <c r="CJ17" s="782"/>
      <c r="CK17" s="782"/>
      <c r="CL17" s="782"/>
      <c r="CM17" s="782"/>
      <c r="CN17" s="782"/>
      <c r="CO17" s="782"/>
      <c r="CP17" s="782"/>
      <c r="CQ17" s="782"/>
      <c r="CR17" s="782"/>
      <c r="CS17" s="782"/>
      <c r="CT17" s="782"/>
      <c r="CU17" s="782"/>
      <c r="CV17" s="782"/>
      <c r="CW17" s="782"/>
      <c r="CX17" s="782"/>
      <c r="CY17" s="782"/>
      <c r="CZ17" s="782"/>
      <c r="DA17" s="782"/>
    </row>
    <row r="18" spans="1:105" s="267" customFormat="1" ht="18.75" customHeight="1" x14ac:dyDescent="0.3">
      <c r="A18" s="787"/>
      <c r="B18" s="268"/>
      <c r="C18" s="269"/>
      <c r="D18" s="269"/>
      <c r="E18" s="269"/>
      <c r="F18" s="269"/>
      <c r="G18" s="457" t="s">
        <v>16</v>
      </c>
      <c r="H18" s="464">
        <f t="shared" ref="H18:H20" si="1">IF(G18="Y",L18,0)</f>
        <v>0</v>
      </c>
      <c r="I18" s="259"/>
      <c r="J18" s="259"/>
      <c r="K18" s="281"/>
      <c r="L18" s="271">
        <v>6</v>
      </c>
      <c r="M18" s="822" t="e">
        <f>L18/$L$16</f>
        <v>#DIV/0!</v>
      </c>
      <c r="N18" s="823"/>
      <c r="O18" s="823"/>
      <c r="P18" s="833">
        <v>1000</v>
      </c>
      <c r="Q18" s="834">
        <v>4</v>
      </c>
      <c r="R18" s="823"/>
      <c r="S18" s="823"/>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782"/>
      <c r="BA18" s="782"/>
      <c r="BB18" s="782"/>
      <c r="BC18" s="782"/>
      <c r="BD18" s="782"/>
      <c r="BE18" s="782"/>
      <c r="BF18" s="782"/>
      <c r="BG18" s="782"/>
      <c r="BH18" s="782"/>
      <c r="BI18" s="782"/>
      <c r="BJ18" s="782"/>
      <c r="BK18" s="782"/>
      <c r="BL18" s="782"/>
      <c r="BM18" s="782"/>
      <c r="BN18" s="782"/>
      <c r="BO18" s="782"/>
      <c r="BP18" s="782"/>
      <c r="BQ18" s="782"/>
      <c r="BR18" s="782"/>
      <c r="BS18" s="782"/>
      <c r="BT18" s="782"/>
      <c r="BU18" s="782"/>
      <c r="BV18" s="782"/>
      <c r="BW18" s="782"/>
      <c r="BX18" s="782"/>
      <c r="BY18" s="782"/>
      <c r="BZ18" s="782"/>
      <c r="CA18" s="782"/>
      <c r="CB18" s="782"/>
      <c r="CC18" s="782"/>
      <c r="CD18" s="782"/>
      <c r="CE18" s="782"/>
      <c r="CF18" s="782"/>
      <c r="CG18" s="782"/>
      <c r="CH18" s="782"/>
      <c r="CI18" s="782"/>
      <c r="CJ18" s="782"/>
      <c r="CK18" s="782"/>
      <c r="CL18" s="782"/>
      <c r="CM18" s="782"/>
      <c r="CN18" s="782"/>
      <c r="CO18" s="782"/>
      <c r="CP18" s="782"/>
      <c r="CQ18" s="782"/>
      <c r="CR18" s="782"/>
      <c r="CS18" s="782"/>
      <c r="CT18" s="782"/>
      <c r="CU18" s="782"/>
      <c r="CV18" s="782"/>
      <c r="CW18" s="782"/>
      <c r="CX18" s="782"/>
      <c r="CY18" s="782"/>
      <c r="CZ18" s="782"/>
      <c r="DA18" s="782"/>
    </row>
    <row r="19" spans="1:105" s="267" customFormat="1" ht="30" customHeight="1" x14ac:dyDescent="0.3">
      <c r="A19" s="787"/>
      <c r="B19" s="282"/>
      <c r="C19" s="269"/>
      <c r="D19" s="269"/>
      <c r="E19" s="269"/>
      <c r="F19" s="269"/>
      <c r="G19" s="457" t="s">
        <v>17</v>
      </c>
      <c r="H19" s="464">
        <f t="shared" si="1"/>
        <v>9</v>
      </c>
      <c r="I19" s="259"/>
      <c r="J19" s="259"/>
      <c r="K19" s="281"/>
      <c r="L19" s="271">
        <v>9</v>
      </c>
      <c r="M19" s="822" t="e">
        <f t="shared" si="0"/>
        <v>#DIV/0!</v>
      </c>
      <c r="N19" s="827"/>
      <c r="O19" s="823"/>
      <c r="P19" s="833">
        <v>3000</v>
      </c>
      <c r="Q19" s="826">
        <v>7</v>
      </c>
      <c r="R19" s="823"/>
      <c r="S19" s="823"/>
      <c r="T19" s="782"/>
      <c r="U19" s="782"/>
      <c r="V19" s="782"/>
      <c r="W19" s="782"/>
      <c r="X19" s="782"/>
      <c r="Y19" s="782"/>
      <c r="Z19" s="782"/>
      <c r="AA19" s="782"/>
      <c r="AB19" s="782"/>
      <c r="AC19" s="782"/>
      <c r="AD19" s="782"/>
      <c r="AE19" s="782"/>
      <c r="AF19" s="782"/>
      <c r="AG19" s="782"/>
      <c r="AH19" s="782"/>
      <c r="AI19" s="782"/>
      <c r="AJ19" s="782"/>
      <c r="AK19" s="782"/>
      <c r="AL19" s="782"/>
      <c r="AM19" s="782"/>
      <c r="AN19" s="782"/>
      <c r="AO19" s="782"/>
      <c r="AP19" s="782"/>
      <c r="AQ19" s="782"/>
      <c r="AR19" s="782"/>
      <c r="AS19" s="782"/>
      <c r="AT19" s="782"/>
      <c r="AU19" s="782"/>
      <c r="AV19" s="782"/>
      <c r="AW19" s="782"/>
      <c r="AX19" s="782"/>
      <c r="AY19" s="782"/>
      <c r="AZ19" s="782"/>
      <c r="BA19" s="782"/>
      <c r="BB19" s="782"/>
      <c r="BC19" s="782"/>
      <c r="BD19" s="782"/>
      <c r="BE19" s="782"/>
      <c r="BF19" s="782"/>
      <c r="BG19" s="782"/>
      <c r="BH19" s="782"/>
      <c r="BI19" s="782"/>
      <c r="BJ19" s="782"/>
      <c r="BK19" s="782"/>
      <c r="BL19" s="782"/>
      <c r="BM19" s="782"/>
      <c r="BN19" s="782"/>
      <c r="BO19" s="782"/>
      <c r="BP19" s="782"/>
      <c r="BQ19" s="782"/>
      <c r="BR19" s="782"/>
      <c r="BS19" s="782"/>
      <c r="BT19" s="782"/>
      <c r="BU19" s="782"/>
      <c r="BV19" s="782"/>
      <c r="BW19" s="782"/>
      <c r="BX19" s="782"/>
      <c r="BY19" s="782"/>
      <c r="BZ19" s="782"/>
      <c r="CA19" s="782"/>
      <c r="CB19" s="782"/>
      <c r="CC19" s="782"/>
      <c r="CD19" s="782"/>
      <c r="CE19" s="782"/>
      <c r="CF19" s="782"/>
      <c r="CG19" s="782"/>
      <c r="CH19" s="782"/>
      <c r="CI19" s="782"/>
      <c r="CJ19" s="782"/>
      <c r="CK19" s="782"/>
      <c r="CL19" s="782"/>
      <c r="CM19" s="782"/>
      <c r="CN19" s="782"/>
      <c r="CO19" s="782"/>
      <c r="CP19" s="782"/>
      <c r="CQ19" s="782"/>
      <c r="CR19" s="782"/>
      <c r="CS19" s="782"/>
      <c r="CT19" s="782"/>
      <c r="CU19" s="782"/>
      <c r="CV19" s="782"/>
      <c r="CW19" s="782"/>
      <c r="CX19" s="782"/>
      <c r="CY19" s="782"/>
      <c r="CZ19" s="782"/>
      <c r="DA19" s="782"/>
    </row>
    <row r="20" spans="1:105" s="267" customFormat="1" ht="18.75" customHeight="1" x14ac:dyDescent="0.35">
      <c r="A20" s="787"/>
      <c r="B20" s="268"/>
      <c r="C20" s="269"/>
      <c r="D20" s="269"/>
      <c r="E20" s="269"/>
      <c r="F20" s="269"/>
      <c r="G20" s="457" t="s">
        <v>17</v>
      </c>
      <c r="H20" s="464">
        <f t="shared" si="1"/>
        <v>5</v>
      </c>
      <c r="I20" s="259"/>
      <c r="J20" s="259"/>
      <c r="K20" s="281"/>
      <c r="L20" s="271">
        <v>5</v>
      </c>
      <c r="M20" s="822" t="e">
        <f t="shared" si="0"/>
        <v>#DIV/0!</v>
      </c>
      <c r="N20" s="823"/>
      <c r="O20" s="823"/>
      <c r="P20" s="835">
        <v>5000</v>
      </c>
      <c r="Q20" s="828">
        <v>10</v>
      </c>
      <c r="R20" s="823"/>
      <c r="S20" s="823"/>
      <c r="T20" s="782"/>
      <c r="U20" s="782"/>
      <c r="V20" s="782"/>
      <c r="W20" s="782"/>
      <c r="X20" s="782"/>
      <c r="Y20" s="782"/>
      <c r="Z20" s="782"/>
      <c r="AA20" s="782"/>
      <c r="AB20" s="782"/>
      <c r="AC20" s="782"/>
      <c r="AD20" s="782"/>
      <c r="AE20" s="782"/>
      <c r="AF20" s="782"/>
      <c r="AG20" s="782"/>
      <c r="AH20" s="782"/>
      <c r="AI20" s="782"/>
      <c r="AJ20" s="782"/>
      <c r="AK20" s="782"/>
      <c r="AL20" s="782"/>
      <c r="AM20" s="782"/>
      <c r="AN20" s="782"/>
      <c r="AO20" s="782"/>
      <c r="AP20" s="782"/>
      <c r="AQ20" s="782"/>
      <c r="AR20" s="782"/>
      <c r="AS20" s="782"/>
      <c r="AT20" s="782"/>
      <c r="AU20" s="782"/>
      <c r="AV20" s="782"/>
      <c r="AW20" s="782"/>
      <c r="AX20" s="782"/>
      <c r="AY20" s="782"/>
      <c r="AZ20" s="782"/>
      <c r="BA20" s="782"/>
      <c r="BB20" s="782"/>
      <c r="BC20" s="782"/>
      <c r="BD20" s="782"/>
      <c r="BE20" s="782"/>
      <c r="BF20" s="782"/>
      <c r="BG20" s="782"/>
      <c r="BH20" s="782"/>
      <c r="BI20" s="782"/>
      <c r="BJ20" s="782"/>
      <c r="BK20" s="782"/>
      <c r="BL20" s="782"/>
      <c r="BM20" s="782"/>
      <c r="BN20" s="782"/>
      <c r="BO20" s="782"/>
      <c r="BP20" s="782"/>
      <c r="BQ20" s="782"/>
      <c r="BR20" s="782"/>
      <c r="BS20" s="782"/>
      <c r="BT20" s="782"/>
      <c r="BU20" s="782"/>
      <c r="BV20" s="782"/>
      <c r="BW20" s="782"/>
      <c r="BX20" s="782"/>
      <c r="BY20" s="782"/>
      <c r="BZ20" s="782"/>
      <c r="CA20" s="782"/>
      <c r="CB20" s="782"/>
      <c r="CC20" s="782"/>
      <c r="CD20" s="782"/>
      <c r="CE20" s="782"/>
      <c r="CF20" s="782"/>
      <c r="CG20" s="782"/>
      <c r="CH20" s="782"/>
      <c r="CI20" s="782"/>
      <c r="CJ20" s="782"/>
      <c r="CK20" s="782"/>
      <c r="CL20" s="782"/>
      <c r="CM20" s="782"/>
      <c r="CN20" s="782"/>
      <c r="CO20" s="782"/>
      <c r="CP20" s="782"/>
      <c r="CQ20" s="782"/>
      <c r="CR20" s="782"/>
      <c r="CS20" s="782"/>
      <c r="CT20" s="782"/>
      <c r="CU20" s="782"/>
      <c r="CV20" s="782"/>
      <c r="CW20" s="782"/>
      <c r="CX20" s="782"/>
      <c r="CY20" s="782"/>
      <c r="CZ20" s="782"/>
      <c r="DA20" s="782"/>
    </row>
    <row r="21" spans="1:105" s="267" customFormat="1" ht="18.75" customHeight="1" x14ac:dyDescent="0.35">
      <c r="A21" s="787"/>
      <c r="B21" s="275"/>
      <c r="C21" s="276"/>
      <c r="D21" s="276"/>
      <c r="E21" s="276"/>
      <c r="F21" s="276"/>
      <c r="G21" s="462" t="s">
        <v>21</v>
      </c>
      <c r="H21" s="465">
        <f>VLOOKUP(G21,P12:Q14,2)</f>
        <v>3</v>
      </c>
      <c r="I21" s="277"/>
      <c r="J21" s="277"/>
      <c r="K21" s="286"/>
      <c r="L21" s="278">
        <v>5</v>
      </c>
      <c r="M21" s="822" t="e">
        <f t="shared" si="0"/>
        <v>#DIV/0!</v>
      </c>
      <c r="N21" s="823"/>
      <c r="O21" s="823"/>
      <c r="P21" s="830"/>
      <c r="Q21" s="830"/>
      <c r="R21" s="830"/>
      <c r="S21" s="823"/>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2"/>
      <c r="AY21" s="782"/>
      <c r="AZ21" s="782"/>
      <c r="BA21" s="782"/>
      <c r="BB21" s="782"/>
      <c r="BC21" s="782"/>
      <c r="BD21" s="782"/>
      <c r="BE21" s="782"/>
      <c r="BF21" s="782"/>
      <c r="BG21" s="782"/>
      <c r="BH21" s="782"/>
      <c r="BI21" s="782"/>
      <c r="BJ21" s="782"/>
      <c r="BK21" s="782"/>
      <c r="BL21" s="782"/>
      <c r="BM21" s="782"/>
      <c r="BN21" s="782"/>
      <c r="BO21" s="782"/>
      <c r="BP21" s="782"/>
      <c r="BQ21" s="782"/>
      <c r="BR21" s="782"/>
      <c r="BS21" s="782"/>
      <c r="BT21" s="782"/>
      <c r="BU21" s="782"/>
      <c r="BV21" s="782"/>
      <c r="BW21" s="782"/>
      <c r="BX21" s="782"/>
      <c r="BY21" s="782"/>
      <c r="BZ21" s="782"/>
      <c r="CA21" s="782"/>
      <c r="CB21" s="782"/>
      <c r="CC21" s="782"/>
      <c r="CD21" s="782"/>
      <c r="CE21" s="782"/>
      <c r="CF21" s="782"/>
      <c r="CG21" s="782"/>
      <c r="CH21" s="782"/>
      <c r="CI21" s="782"/>
      <c r="CJ21" s="782"/>
      <c r="CK21" s="782"/>
      <c r="CL21" s="782"/>
      <c r="CM21" s="782"/>
      <c r="CN21" s="782"/>
      <c r="CO21" s="782"/>
      <c r="CP21" s="782"/>
      <c r="CQ21" s="782"/>
      <c r="CR21" s="782"/>
      <c r="CS21" s="782"/>
      <c r="CT21" s="782"/>
      <c r="CU21" s="782"/>
      <c r="CV21" s="782"/>
      <c r="CW21" s="782"/>
      <c r="CX21" s="782"/>
      <c r="CY21" s="782"/>
      <c r="CZ21" s="782"/>
      <c r="DA21" s="782"/>
    </row>
    <row r="22" spans="1:105" ht="8.25" customHeight="1" x14ac:dyDescent="0.35">
      <c r="B22" s="287"/>
      <c r="C22" s="288"/>
      <c r="D22" s="288"/>
      <c r="E22" s="288"/>
      <c r="F22" s="288"/>
      <c r="G22" s="463"/>
      <c r="H22" s="468"/>
      <c r="I22" s="289"/>
      <c r="J22" s="289"/>
      <c r="K22" s="290"/>
      <c r="L22" s="260"/>
      <c r="M22" s="829"/>
      <c r="N22" s="830"/>
      <c r="O22" s="830"/>
      <c r="P22" s="830"/>
      <c r="Q22" s="830"/>
      <c r="R22" s="821"/>
      <c r="S22" s="830"/>
    </row>
    <row r="23" spans="1:105" s="261" customFormat="1" ht="24" customHeight="1" x14ac:dyDescent="0.35">
      <c r="A23" s="149"/>
      <c r="B23" s="471" t="s">
        <v>387</v>
      </c>
      <c r="C23" s="292"/>
      <c r="D23" s="262"/>
      <c r="E23" s="262"/>
      <c r="F23" s="262"/>
      <c r="G23" s="460"/>
      <c r="H23" s="466"/>
      <c r="I23" s="263"/>
      <c r="J23" s="263"/>
      <c r="K23" s="263"/>
      <c r="L23" s="265">
        <f>SUM(L24:L26)</f>
        <v>10</v>
      </c>
      <c r="M23" s="820"/>
      <c r="N23" s="821"/>
      <c r="O23" s="821"/>
      <c r="P23" s="830"/>
      <c r="Q23" s="830"/>
      <c r="R23" s="823"/>
      <c r="S23" s="821"/>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c r="CA23" s="784"/>
      <c r="CB23" s="784"/>
      <c r="CC23" s="784"/>
      <c r="CD23" s="784"/>
      <c r="CE23" s="784"/>
      <c r="CF23" s="784"/>
      <c r="CG23" s="784"/>
      <c r="CH23" s="784"/>
      <c r="CI23" s="784"/>
      <c r="CJ23" s="784"/>
      <c r="CK23" s="784"/>
      <c r="CL23" s="784"/>
      <c r="CM23" s="784"/>
      <c r="CN23" s="784"/>
      <c r="CO23" s="784"/>
      <c r="CP23" s="784"/>
      <c r="CQ23" s="784"/>
      <c r="CR23" s="784"/>
      <c r="CS23" s="784"/>
      <c r="CT23" s="784"/>
      <c r="CU23" s="784"/>
      <c r="CV23" s="784"/>
      <c r="CW23" s="784"/>
      <c r="CX23" s="784"/>
      <c r="CY23" s="784"/>
      <c r="CZ23" s="784"/>
      <c r="DA23" s="784"/>
    </row>
    <row r="24" spans="1:105" s="267" customFormat="1" ht="18.75" customHeight="1" x14ac:dyDescent="0.35">
      <c r="A24" s="787"/>
      <c r="B24" s="293"/>
      <c r="C24" s="294"/>
      <c r="D24" s="294"/>
      <c r="E24" s="294"/>
      <c r="F24" s="294"/>
      <c r="G24" s="461" t="s">
        <v>16</v>
      </c>
      <c r="H24" s="467">
        <f>IF(G24="Y",L24,0)</f>
        <v>0</v>
      </c>
      <c r="I24" s="279"/>
      <c r="J24" s="279"/>
      <c r="K24" s="279"/>
      <c r="L24" s="270">
        <v>5</v>
      </c>
      <c r="M24" s="822">
        <f>L24/$L$23</f>
        <v>0.5</v>
      </c>
      <c r="N24" s="823"/>
      <c r="O24" s="823"/>
      <c r="P24" s="824" t="s">
        <v>24</v>
      </c>
      <c r="Q24" s="831"/>
      <c r="R24" s="823"/>
      <c r="S24" s="823"/>
      <c r="T24" s="782"/>
      <c r="U24" s="784"/>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782"/>
      <c r="BA24" s="782"/>
      <c r="BB24" s="782"/>
      <c r="BC24" s="782"/>
      <c r="BD24" s="782"/>
      <c r="BE24" s="782"/>
      <c r="BF24" s="782"/>
      <c r="BG24" s="782"/>
      <c r="BH24" s="782"/>
      <c r="BI24" s="782"/>
      <c r="BJ24" s="782"/>
      <c r="BK24" s="782"/>
      <c r="BL24" s="782"/>
      <c r="BM24" s="782"/>
      <c r="BN24" s="782"/>
      <c r="BO24" s="782"/>
      <c r="BP24" s="782"/>
      <c r="BQ24" s="782"/>
      <c r="BR24" s="782"/>
      <c r="BS24" s="782"/>
      <c r="BT24" s="782"/>
      <c r="BU24" s="782"/>
      <c r="BV24" s="782"/>
      <c r="BW24" s="782"/>
      <c r="BX24" s="782"/>
      <c r="BY24" s="782"/>
      <c r="BZ24" s="782"/>
      <c r="CA24" s="782"/>
      <c r="CB24" s="782"/>
      <c r="CC24" s="782"/>
      <c r="CD24" s="782"/>
      <c r="CE24" s="782"/>
      <c r="CF24" s="782"/>
      <c r="CG24" s="782"/>
      <c r="CH24" s="782"/>
      <c r="CI24" s="782"/>
      <c r="CJ24" s="782"/>
      <c r="CK24" s="782"/>
      <c r="CL24" s="782"/>
      <c r="CM24" s="782"/>
      <c r="CN24" s="782"/>
      <c r="CO24" s="782"/>
      <c r="CP24" s="782"/>
      <c r="CQ24" s="782"/>
      <c r="CR24" s="782"/>
      <c r="CS24" s="782"/>
      <c r="CT24" s="782"/>
      <c r="CU24" s="782"/>
      <c r="CV24" s="782"/>
      <c r="CW24" s="782"/>
      <c r="CX24" s="782"/>
      <c r="CY24" s="782"/>
      <c r="CZ24" s="782"/>
      <c r="DA24" s="782"/>
    </row>
    <row r="25" spans="1:105" s="267" customFormat="1" ht="6.75" customHeight="1" x14ac:dyDescent="0.35">
      <c r="A25" s="787"/>
      <c r="B25" s="295"/>
      <c r="C25" s="296"/>
      <c r="D25" s="296"/>
      <c r="E25" s="296"/>
      <c r="F25" s="296"/>
      <c r="G25" s="743"/>
      <c r="H25" s="464"/>
      <c r="I25" s="259"/>
      <c r="J25" s="259"/>
      <c r="K25" s="259"/>
      <c r="L25" s="271"/>
      <c r="M25" s="822"/>
      <c r="N25" s="823"/>
      <c r="O25" s="823"/>
      <c r="P25" s="835"/>
      <c r="Q25" s="828"/>
      <c r="R25" s="823"/>
      <c r="S25" s="823"/>
      <c r="T25" s="782"/>
      <c r="U25" s="784"/>
      <c r="V25" s="782"/>
      <c r="W25" s="782"/>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2"/>
      <c r="AY25" s="782"/>
      <c r="AZ25" s="782"/>
      <c r="BA25" s="782"/>
      <c r="BB25" s="782"/>
      <c r="BC25" s="782"/>
      <c r="BD25" s="782"/>
      <c r="BE25" s="782"/>
      <c r="BF25" s="782"/>
      <c r="BG25" s="782"/>
      <c r="BH25" s="782"/>
      <c r="BI25" s="782"/>
      <c r="BJ25" s="782"/>
      <c r="BK25" s="782"/>
      <c r="BL25" s="782"/>
      <c r="BM25" s="782"/>
      <c r="BN25" s="782"/>
      <c r="BO25" s="782"/>
      <c r="BP25" s="782"/>
      <c r="BQ25" s="782"/>
      <c r="BR25" s="782"/>
      <c r="BS25" s="782"/>
      <c r="BT25" s="782"/>
      <c r="BU25" s="782"/>
      <c r="BV25" s="782"/>
      <c r="BW25" s="782"/>
      <c r="BX25" s="782"/>
      <c r="BY25" s="782"/>
      <c r="BZ25" s="782"/>
      <c r="CA25" s="782"/>
      <c r="CB25" s="782"/>
      <c r="CC25" s="782"/>
      <c r="CD25" s="782"/>
      <c r="CE25" s="782"/>
      <c r="CF25" s="782"/>
      <c r="CG25" s="782"/>
      <c r="CH25" s="782"/>
      <c r="CI25" s="782"/>
      <c r="CJ25" s="782"/>
      <c r="CK25" s="782"/>
      <c r="CL25" s="782"/>
      <c r="CM25" s="782"/>
      <c r="CN25" s="782"/>
      <c r="CO25" s="782"/>
      <c r="CP25" s="782"/>
      <c r="CQ25" s="782"/>
      <c r="CR25" s="782"/>
      <c r="CS25" s="782"/>
      <c r="CT25" s="782"/>
      <c r="CU25" s="782"/>
      <c r="CV25" s="782"/>
      <c r="CW25" s="782"/>
      <c r="CX25" s="782"/>
      <c r="CY25" s="782"/>
      <c r="CZ25" s="782"/>
      <c r="DA25" s="782"/>
    </row>
    <row r="26" spans="1:105" s="267" customFormat="1" ht="16.5" customHeight="1" x14ac:dyDescent="0.35">
      <c r="A26" s="787"/>
      <c r="B26" s="297"/>
      <c r="C26" s="276"/>
      <c r="D26" s="276"/>
      <c r="E26" s="276"/>
      <c r="F26" s="276"/>
      <c r="G26" s="458" t="s">
        <v>17</v>
      </c>
      <c r="H26" s="465">
        <f>IF(G26="Y",L26,0)</f>
        <v>5</v>
      </c>
      <c r="I26" s="277"/>
      <c r="J26" s="277"/>
      <c r="K26" s="277"/>
      <c r="L26" s="278">
        <v>5</v>
      </c>
      <c r="M26" s="822">
        <f>L26/$L$23</f>
        <v>0.5</v>
      </c>
      <c r="N26" s="823"/>
      <c r="O26" s="823"/>
      <c r="P26" s="833">
        <v>2</v>
      </c>
      <c r="Q26" s="834">
        <v>0</v>
      </c>
      <c r="R26" s="830"/>
      <c r="S26" s="830"/>
      <c r="T26" s="782"/>
      <c r="U26" s="782"/>
      <c r="V26" s="782"/>
      <c r="W26" s="782"/>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2"/>
      <c r="AY26" s="782"/>
      <c r="AZ26" s="782"/>
      <c r="BA26" s="782"/>
      <c r="BB26" s="782"/>
      <c r="BC26" s="782"/>
      <c r="BD26" s="782"/>
      <c r="BE26" s="782"/>
      <c r="BF26" s="782"/>
      <c r="BG26" s="782"/>
      <c r="BH26" s="782"/>
      <c r="BI26" s="782"/>
      <c r="BJ26" s="782"/>
      <c r="BK26" s="782"/>
      <c r="BL26" s="782"/>
      <c r="BM26" s="782"/>
      <c r="BN26" s="782"/>
      <c r="BO26" s="782"/>
      <c r="BP26" s="782"/>
      <c r="BQ26" s="782"/>
      <c r="BR26" s="782"/>
      <c r="BS26" s="782"/>
      <c r="BT26" s="782"/>
      <c r="BU26" s="782"/>
      <c r="BV26" s="782"/>
      <c r="BW26" s="782"/>
      <c r="BX26" s="782"/>
      <c r="BY26" s="782"/>
      <c r="BZ26" s="782"/>
      <c r="CA26" s="782"/>
      <c r="CB26" s="782"/>
      <c r="CC26" s="782"/>
      <c r="CD26" s="782"/>
      <c r="CE26" s="782"/>
      <c r="CF26" s="782"/>
      <c r="CG26" s="782"/>
      <c r="CH26" s="782"/>
      <c r="CI26" s="782"/>
      <c r="CJ26" s="782"/>
      <c r="CK26" s="782"/>
      <c r="CL26" s="782"/>
      <c r="CM26" s="782"/>
      <c r="CN26" s="782"/>
      <c r="CO26" s="782"/>
      <c r="CP26" s="782"/>
      <c r="CQ26" s="782"/>
      <c r="CR26" s="782"/>
      <c r="CS26" s="782"/>
      <c r="CT26" s="782"/>
      <c r="CU26" s="782"/>
      <c r="CV26" s="782"/>
      <c r="CW26" s="782"/>
      <c r="CX26" s="782"/>
      <c r="CY26" s="782"/>
      <c r="CZ26" s="782"/>
      <c r="DA26" s="782"/>
    </row>
    <row r="27" spans="1:105" ht="3" customHeight="1" x14ac:dyDescent="0.35">
      <c r="B27" s="298"/>
      <c r="C27" s="299"/>
      <c r="D27" s="299"/>
      <c r="E27" s="299"/>
      <c r="F27" s="299"/>
      <c r="G27" s="259"/>
      <c r="H27" s="258"/>
      <c r="I27" s="259"/>
      <c r="J27" s="259"/>
      <c r="K27" s="259"/>
      <c r="L27" s="260"/>
      <c r="M27" s="830"/>
      <c r="N27" s="830"/>
      <c r="O27" s="830"/>
      <c r="P27" s="833">
        <v>2</v>
      </c>
      <c r="Q27" s="834">
        <v>0</v>
      </c>
      <c r="R27" s="830"/>
      <c r="S27" s="830"/>
    </row>
    <row r="28" spans="1:105" s="303" customFormat="1" ht="17" x14ac:dyDescent="0.35">
      <c r="A28" s="790"/>
      <c r="B28" s="469" t="s">
        <v>25</v>
      </c>
      <c r="C28" s="300"/>
      <c r="D28" s="300"/>
      <c r="E28" s="300"/>
      <c r="F28" s="300"/>
      <c r="G28" s="470">
        <f>SUM(H11:H26)+H6+H4</f>
        <v>47</v>
      </c>
      <c r="H28" s="301"/>
      <c r="I28" s="2"/>
      <c r="J28" s="2"/>
      <c r="K28" s="2"/>
      <c r="L28" s="302" t="e">
        <f>SUM(L24:L26,L17:L21,L11:L14)+L6+L4-#REF!</f>
        <v>#REF!</v>
      </c>
      <c r="M28" s="836"/>
      <c r="N28" s="836"/>
      <c r="O28" s="836"/>
      <c r="P28" s="833">
        <v>3</v>
      </c>
      <c r="Q28" s="834">
        <v>4</v>
      </c>
      <c r="R28" s="830"/>
      <c r="S28" s="830"/>
      <c r="T28" s="129"/>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6"/>
      <c r="AY28" s="786"/>
      <c r="AZ28" s="786"/>
      <c r="BA28" s="786"/>
      <c r="BB28" s="786"/>
      <c r="BC28" s="786"/>
      <c r="BD28" s="786"/>
      <c r="BE28" s="786"/>
      <c r="BF28" s="786"/>
      <c r="BG28" s="786"/>
      <c r="BH28" s="786"/>
      <c r="BI28" s="786"/>
      <c r="BJ28" s="786"/>
      <c r="BK28" s="786"/>
      <c r="BL28" s="786"/>
      <c r="BM28" s="786"/>
      <c r="BN28" s="786"/>
      <c r="BO28" s="786"/>
      <c r="BP28" s="786"/>
      <c r="BQ28" s="786"/>
      <c r="BR28" s="786"/>
      <c r="BS28" s="786"/>
      <c r="BT28" s="786"/>
      <c r="BU28" s="786"/>
      <c r="BV28" s="786"/>
      <c r="BW28" s="786"/>
      <c r="BX28" s="786"/>
      <c r="BY28" s="786"/>
      <c r="BZ28" s="786"/>
      <c r="CA28" s="786"/>
      <c r="CB28" s="786"/>
      <c r="CC28" s="786"/>
      <c r="CD28" s="786"/>
      <c r="CE28" s="786"/>
      <c r="CF28" s="786"/>
      <c r="CG28" s="786"/>
      <c r="CH28" s="786"/>
      <c r="CI28" s="786"/>
      <c r="CJ28" s="786"/>
      <c r="CK28" s="786"/>
      <c r="CL28" s="786"/>
      <c r="CM28" s="786"/>
      <c r="CN28" s="786"/>
      <c r="CO28" s="786"/>
      <c r="CP28" s="786"/>
      <c r="CQ28" s="786"/>
      <c r="CR28" s="786"/>
      <c r="CS28" s="786"/>
      <c r="CT28" s="786"/>
      <c r="CU28" s="786"/>
      <c r="CV28" s="786"/>
      <c r="CW28" s="786"/>
      <c r="CX28" s="786"/>
      <c r="CY28" s="786"/>
      <c r="CZ28" s="786"/>
      <c r="DA28" s="786"/>
    </row>
    <row r="29" spans="1:105" s="129" customFormat="1" x14ac:dyDescent="0.35">
      <c r="A29" s="149"/>
      <c r="G29" s="787"/>
      <c r="H29" s="783"/>
      <c r="I29" s="787"/>
      <c r="J29" s="787"/>
      <c r="K29" s="787"/>
      <c r="M29" s="830"/>
      <c r="N29" s="830"/>
      <c r="O29" s="830"/>
      <c r="P29" s="833">
        <v>5</v>
      </c>
      <c r="Q29" s="834">
        <v>8</v>
      </c>
      <c r="R29" s="830"/>
      <c r="S29" s="830"/>
    </row>
    <row r="30" spans="1:105" s="129" customFormat="1" hidden="1" x14ac:dyDescent="0.35">
      <c r="A30" s="149"/>
      <c r="G30" s="787"/>
      <c r="H30" s="783"/>
      <c r="I30" s="787"/>
      <c r="J30" s="787"/>
      <c r="K30" s="787"/>
      <c r="M30" s="830"/>
      <c r="N30" s="830"/>
      <c r="O30" s="830"/>
      <c r="P30" s="837"/>
      <c r="Q30" s="834"/>
      <c r="R30" s="830"/>
      <c r="S30" s="830"/>
    </row>
    <row r="31" spans="1:105" s="129" customFormat="1" hidden="1" x14ac:dyDescent="0.35">
      <c r="A31" s="149"/>
      <c r="G31" s="787"/>
      <c r="H31" s="783"/>
      <c r="I31" s="787"/>
      <c r="J31" s="787"/>
      <c r="K31" s="787"/>
      <c r="M31" s="830"/>
      <c r="N31" s="830"/>
      <c r="O31" s="830"/>
      <c r="P31" s="838" t="s">
        <v>26</v>
      </c>
      <c r="Q31" s="839"/>
      <c r="R31" s="839"/>
      <c r="S31" s="830"/>
    </row>
    <row r="32" spans="1:105" s="129" customFormat="1" hidden="1" x14ac:dyDescent="0.35">
      <c r="A32" s="149"/>
      <c r="G32" s="787"/>
      <c r="H32" s="783"/>
      <c r="I32" s="787"/>
      <c r="J32" s="787"/>
      <c r="K32" s="787"/>
      <c r="M32" s="830"/>
      <c r="N32" s="830"/>
      <c r="O32" s="830"/>
      <c r="P32" s="840" t="s">
        <v>27</v>
      </c>
      <c r="Q32" s="841">
        <v>1</v>
      </c>
      <c r="R32" s="830"/>
      <c r="S32" s="830"/>
    </row>
    <row r="33" spans="1:19" s="129" customFormat="1" ht="15" thickBot="1" x14ac:dyDescent="0.4">
      <c r="A33" s="149"/>
      <c r="G33" s="787"/>
      <c r="H33" s="783"/>
      <c r="I33" s="787"/>
      <c r="J33" s="787"/>
      <c r="K33" s="787"/>
      <c r="M33" s="830"/>
      <c r="N33" s="830"/>
      <c r="O33" s="830"/>
      <c r="P33" s="830"/>
      <c r="Q33" s="830"/>
      <c r="R33" s="830"/>
      <c r="S33" s="830"/>
    </row>
    <row r="34" spans="1:19" ht="19" thickBot="1" x14ac:dyDescent="0.4">
      <c r="B34" s="472" t="s">
        <v>11</v>
      </c>
      <c r="C34" s="308"/>
      <c r="D34" s="308"/>
      <c r="E34" s="308"/>
      <c r="F34" s="308"/>
      <c r="G34" s="308"/>
      <c r="H34" s="309"/>
      <c r="I34" s="308"/>
      <c r="J34" s="308"/>
      <c r="K34" s="310"/>
      <c r="L34" s="129"/>
    </row>
    <row r="35" spans="1:19" ht="6.75" customHeight="1" thickTop="1" x14ac:dyDescent="0.35">
      <c r="B35" s="312"/>
      <c r="C35" s="313"/>
      <c r="D35" s="313"/>
      <c r="E35" s="313"/>
      <c r="F35" s="313"/>
      <c r="G35" s="313"/>
      <c r="H35" s="314"/>
      <c r="I35" s="313"/>
      <c r="J35" s="313"/>
      <c r="K35" s="315"/>
      <c r="L35" s="129"/>
    </row>
    <row r="36" spans="1:19" ht="23.25" customHeight="1" x14ac:dyDescent="0.35">
      <c r="B36" s="473" t="s">
        <v>29</v>
      </c>
      <c r="C36" s="317"/>
      <c r="D36" s="318"/>
      <c r="E36" s="318"/>
      <c r="F36" s="318"/>
      <c r="G36" s="318"/>
      <c r="H36" s="319"/>
      <c r="I36" s="318"/>
      <c r="J36" s="318"/>
      <c r="K36" s="476" t="s">
        <v>30</v>
      </c>
      <c r="L36" s="129"/>
    </row>
    <row r="37" spans="1:19" ht="6.75" customHeight="1" thickBot="1" x14ac:dyDescent="0.4">
      <c r="B37" s="320"/>
      <c r="C37" s="321"/>
      <c r="D37" s="321"/>
      <c r="E37" s="321"/>
      <c r="F37" s="321"/>
      <c r="G37" s="321"/>
      <c r="H37" s="322"/>
      <c r="I37" s="321"/>
      <c r="J37" s="321"/>
      <c r="K37" s="323"/>
      <c r="L37" s="129"/>
    </row>
    <row r="38" spans="1:19" ht="17.5" thickTop="1" x14ac:dyDescent="0.4">
      <c r="B38" s="474" t="s">
        <v>33</v>
      </c>
      <c r="C38" s="313"/>
      <c r="D38" s="887" t="s">
        <v>36</v>
      </c>
      <c r="E38" s="322"/>
      <c r="F38" s="322"/>
      <c r="G38" s="322"/>
      <c r="H38" s="475" t="s">
        <v>34</v>
      </c>
      <c r="I38" s="322"/>
      <c r="J38" s="322"/>
      <c r="K38" s="882">
        <f>VLOOKUP(D38,'Well P&amp;A Background'!T4:V7,2,FALSE)</f>
        <v>14</v>
      </c>
      <c r="L38" s="129"/>
    </row>
    <row r="39" spans="1:19" ht="8.25" customHeight="1" thickBot="1" x14ac:dyDescent="0.4">
      <c r="B39" s="320"/>
      <c r="C39" s="321"/>
      <c r="D39" s="322"/>
      <c r="E39" s="322"/>
      <c r="F39" s="322"/>
      <c r="G39" s="322"/>
      <c r="H39" s="475"/>
      <c r="I39" s="322"/>
      <c r="J39" s="322"/>
      <c r="K39" s="323"/>
      <c r="L39" s="129"/>
    </row>
    <row r="40" spans="1:19" ht="17.5" thickTop="1" x14ac:dyDescent="0.4">
      <c r="B40" s="320"/>
      <c r="C40" s="321"/>
      <c r="D40" s="322"/>
      <c r="E40" s="322"/>
      <c r="F40" s="322"/>
      <c r="G40" s="322"/>
      <c r="H40" s="475" t="s">
        <v>35</v>
      </c>
      <c r="I40" s="322"/>
      <c r="J40" s="322"/>
      <c r="K40" s="477">
        <f>VLOOKUP(D38,'Well P&amp;A Background'!T4:V7,3,FALSE)</f>
        <v>12500</v>
      </c>
      <c r="L40" s="129"/>
    </row>
    <row r="41" spans="1:19" ht="10.5" customHeight="1" x14ac:dyDescent="0.35">
      <c r="B41" s="324"/>
      <c r="C41" s="322"/>
      <c r="D41" s="322"/>
      <c r="E41" s="322"/>
      <c r="F41" s="322"/>
      <c r="G41" s="322"/>
      <c r="H41" s="322"/>
      <c r="I41" s="321"/>
      <c r="J41" s="321"/>
      <c r="K41" s="323"/>
      <c r="L41" s="129"/>
    </row>
    <row r="42" spans="1:19" ht="18.5" x14ac:dyDescent="0.35">
      <c r="B42" s="478" t="s">
        <v>37</v>
      </c>
      <c r="C42" s="325"/>
      <c r="D42" s="326"/>
      <c r="E42" s="326"/>
      <c r="F42" s="326"/>
      <c r="G42" s="326"/>
      <c r="H42" s="327"/>
      <c r="I42" s="326"/>
      <c r="J42" s="326"/>
      <c r="K42" s="328"/>
      <c r="L42" s="129"/>
    </row>
    <row r="43" spans="1:19" ht="6.75" customHeight="1" thickBot="1" x14ac:dyDescent="0.4">
      <c r="B43" s="320"/>
      <c r="C43" s="321"/>
      <c r="D43" s="321"/>
      <c r="E43" s="321"/>
      <c r="F43" s="321"/>
      <c r="G43" s="321"/>
      <c r="H43" s="322"/>
      <c r="I43" s="321"/>
      <c r="J43" s="321"/>
      <c r="K43" s="323"/>
      <c r="L43" s="129"/>
    </row>
    <row r="44" spans="1:19" ht="17.5" thickTop="1" x14ac:dyDescent="0.4">
      <c r="B44" s="479" t="s">
        <v>67</v>
      </c>
      <c r="C44" s="313"/>
      <c r="D44" s="888" t="s">
        <v>284</v>
      </c>
      <c r="E44" s="321"/>
      <c r="F44" s="321"/>
      <c r="G44" s="321"/>
      <c r="H44" s="475" t="s">
        <v>12</v>
      </c>
      <c r="I44" s="322"/>
      <c r="J44" s="322"/>
      <c r="K44" s="482">
        <f>G4</f>
        <v>3000</v>
      </c>
      <c r="L44" s="129"/>
    </row>
    <row r="45" spans="1:19" ht="8.25" customHeight="1" thickBot="1" x14ac:dyDescent="0.4">
      <c r="B45" s="330"/>
      <c r="C45" s="331"/>
      <c r="D45" s="321"/>
      <c r="E45" s="321"/>
      <c r="F45" s="321"/>
      <c r="G45" s="321"/>
      <c r="H45" s="322"/>
      <c r="I45" s="321"/>
      <c r="J45" s="321"/>
      <c r="K45" s="323"/>
      <c r="L45" s="129"/>
    </row>
    <row r="46" spans="1:19" ht="18.5" thickTop="1" x14ac:dyDescent="0.4">
      <c r="B46" s="480" t="s">
        <v>330</v>
      </c>
      <c r="C46" s="332"/>
      <c r="D46" s="321"/>
      <c r="E46" s="321"/>
      <c r="F46" s="321"/>
      <c r="G46" s="333" t="s">
        <v>39</v>
      </c>
      <c r="H46" s="334"/>
      <c r="I46" s="335"/>
      <c r="J46" s="335"/>
      <c r="K46" s="483">
        <f>'Well P&amp;A Background'!H12</f>
        <v>1.4624999999999999</v>
      </c>
      <c r="L46" s="129"/>
    </row>
    <row r="47" spans="1:19" ht="5.25" customHeight="1" thickBot="1" x14ac:dyDescent="0.4">
      <c r="B47" s="336"/>
      <c r="C47" s="337"/>
      <c r="D47" s="321"/>
      <c r="E47" s="321"/>
      <c r="F47" s="321"/>
      <c r="G47" s="333"/>
      <c r="H47" s="322"/>
      <c r="I47" s="321"/>
      <c r="J47" s="321"/>
      <c r="K47" s="323"/>
      <c r="L47" s="129"/>
    </row>
    <row r="48" spans="1:19" ht="18.5" thickBot="1" x14ac:dyDescent="0.45">
      <c r="B48" s="480" t="s">
        <v>331</v>
      </c>
      <c r="C48" s="332"/>
      <c r="D48" s="338"/>
      <c r="E48" s="338"/>
      <c r="F48" s="338"/>
      <c r="G48" s="333" t="s">
        <v>39</v>
      </c>
      <c r="H48" s="339"/>
      <c r="I48" s="333"/>
      <c r="J48" s="333"/>
      <c r="K48" s="484">
        <f>K38*K46</f>
        <v>20.474999999999998</v>
      </c>
      <c r="L48" s="129"/>
    </row>
    <row r="49" spans="1:12" ht="7.5" customHeight="1" thickTop="1" thickBot="1" x14ac:dyDescent="0.4">
      <c r="B49" s="336"/>
      <c r="C49" s="337"/>
      <c r="D49" s="321"/>
      <c r="E49" s="321"/>
      <c r="F49" s="321"/>
      <c r="G49" s="321"/>
      <c r="H49" s="322"/>
      <c r="I49" s="321"/>
      <c r="J49" s="321"/>
      <c r="K49" s="323"/>
      <c r="L49" s="129"/>
    </row>
    <row r="50" spans="1:12" ht="19" thickBot="1" x14ac:dyDescent="0.45">
      <c r="B50" s="481" t="s">
        <v>337</v>
      </c>
      <c r="C50" s="340"/>
      <c r="D50" s="341"/>
      <c r="E50" s="341"/>
      <c r="F50" s="341"/>
      <c r="G50" s="333" t="s">
        <v>39</v>
      </c>
      <c r="H50" s="339"/>
      <c r="I50" s="333"/>
      <c r="J50" s="333"/>
      <c r="K50" s="485">
        <f>K48*K40</f>
        <v>255937.49999999997</v>
      </c>
      <c r="L50" s="129"/>
    </row>
    <row r="51" spans="1:12" ht="4.5" customHeight="1" thickTop="1" thickBot="1" x14ac:dyDescent="0.4">
      <c r="B51" s="342"/>
      <c r="C51" s="343"/>
      <c r="D51" s="343"/>
      <c r="E51" s="343"/>
      <c r="F51" s="343"/>
      <c r="G51" s="344"/>
      <c r="H51" s="345"/>
      <c r="I51" s="344"/>
      <c r="J51" s="344"/>
      <c r="K51" s="346"/>
      <c r="L51" s="129"/>
    </row>
    <row r="52" spans="1:12" x14ac:dyDescent="0.35">
      <c r="A52" s="129"/>
      <c r="B52" s="129"/>
      <c r="C52" s="129"/>
      <c r="D52" s="129"/>
      <c r="E52" s="129"/>
      <c r="F52" s="129"/>
      <c r="G52" s="129"/>
      <c r="H52" s="791"/>
      <c r="I52" s="129"/>
      <c r="J52" s="129"/>
      <c r="K52" s="129"/>
      <c r="L52" s="129"/>
    </row>
    <row r="53" spans="1:12" x14ac:dyDescent="0.35">
      <c r="A53" s="129"/>
      <c r="B53" s="129"/>
      <c r="C53" s="129"/>
      <c r="D53" s="129"/>
      <c r="E53" s="129"/>
      <c r="F53" s="129"/>
      <c r="G53" s="129"/>
      <c r="H53" s="791"/>
      <c r="I53" s="129"/>
      <c r="J53" s="129"/>
      <c r="K53" s="129"/>
      <c r="L53" s="129"/>
    </row>
    <row r="54" spans="1:12" x14ac:dyDescent="0.35">
      <c r="A54" s="129"/>
      <c r="B54" s="129"/>
      <c r="C54" s="129"/>
      <c r="D54" s="129"/>
      <c r="E54" s="129"/>
      <c r="F54" s="129"/>
      <c r="G54" s="129"/>
      <c r="H54" s="791"/>
      <c r="I54" s="129"/>
      <c r="J54" s="129"/>
      <c r="K54" s="129"/>
      <c r="L54" s="129"/>
    </row>
    <row r="55" spans="1:12" ht="95.25" customHeight="1" x14ac:dyDescent="0.35">
      <c r="A55" s="129"/>
      <c r="B55" s="129"/>
      <c r="C55" s="129"/>
      <c r="D55" s="129"/>
      <c r="E55" s="129"/>
      <c r="F55" s="129"/>
      <c r="G55" s="129"/>
      <c r="H55" s="791"/>
      <c r="I55" s="129"/>
      <c r="J55" s="129"/>
      <c r="K55" s="129"/>
      <c r="L55" s="129"/>
    </row>
    <row r="56" spans="1:12" x14ac:dyDescent="0.35">
      <c r="A56" s="129"/>
      <c r="B56" s="129"/>
      <c r="C56" s="129"/>
      <c r="D56" s="792"/>
      <c r="E56" s="792"/>
      <c r="F56" s="129"/>
      <c r="G56" s="129"/>
      <c r="H56" s="791"/>
      <c r="I56" s="129"/>
      <c r="J56" s="129"/>
      <c r="K56" s="129"/>
      <c r="L56" s="129"/>
    </row>
    <row r="57" spans="1:12" x14ac:dyDescent="0.35">
      <c r="A57" s="129"/>
      <c r="B57" s="129"/>
      <c r="C57" s="129"/>
      <c r="D57" s="792"/>
      <c r="E57" s="792"/>
      <c r="F57" s="129"/>
      <c r="G57" s="129"/>
      <c r="H57" s="791"/>
      <c r="I57" s="129"/>
      <c r="J57" s="129"/>
      <c r="K57" s="129"/>
      <c r="L57" s="129"/>
    </row>
    <row r="58" spans="1:12" x14ac:dyDescent="0.35">
      <c r="A58" s="129"/>
      <c r="B58" s="129"/>
      <c r="C58" s="129"/>
      <c r="D58" s="792"/>
      <c r="E58" s="792"/>
      <c r="F58" s="129"/>
      <c r="G58" s="129"/>
      <c r="H58" s="791"/>
      <c r="I58" s="129"/>
      <c r="J58" s="129"/>
      <c r="K58" s="129"/>
      <c r="L58" s="129"/>
    </row>
    <row r="59" spans="1:12" x14ac:dyDescent="0.35">
      <c r="A59" s="129"/>
      <c r="B59" s="129"/>
      <c r="C59" s="129"/>
      <c r="D59" s="792"/>
      <c r="E59" s="792"/>
      <c r="F59" s="129"/>
      <c r="G59" s="129"/>
      <c r="H59" s="791"/>
      <c r="I59" s="129"/>
      <c r="J59" s="129"/>
      <c r="K59" s="129"/>
      <c r="L59" s="129"/>
    </row>
    <row r="60" spans="1:12" x14ac:dyDescent="0.35">
      <c r="A60" s="129"/>
      <c r="B60" s="129"/>
      <c r="C60" s="129"/>
      <c r="D60" s="129"/>
      <c r="E60" s="129"/>
      <c r="F60" s="129"/>
      <c r="G60" s="129"/>
      <c r="H60" s="791"/>
      <c r="I60" s="129"/>
      <c r="J60" s="129"/>
      <c r="K60" s="129"/>
      <c r="L60" s="129"/>
    </row>
    <row r="61" spans="1:12" x14ac:dyDescent="0.35">
      <c r="A61" s="129"/>
      <c r="B61" s="129"/>
      <c r="C61" s="129"/>
      <c r="D61" s="129"/>
      <c r="E61" s="129"/>
      <c r="F61" s="129"/>
      <c r="G61" s="129"/>
      <c r="H61" s="791"/>
      <c r="I61" s="129"/>
      <c r="J61" s="129"/>
      <c r="K61" s="129"/>
      <c r="L61" s="129"/>
    </row>
    <row r="62" spans="1:12" x14ac:dyDescent="0.35">
      <c r="A62" s="129"/>
      <c r="B62" s="129"/>
      <c r="C62" s="129"/>
      <c r="D62" s="129"/>
      <c r="E62" s="129"/>
      <c r="F62" s="129"/>
      <c r="G62" s="129"/>
      <c r="H62" s="791"/>
      <c r="I62" s="129"/>
      <c r="J62" s="129"/>
      <c r="K62" s="129"/>
      <c r="L62" s="129"/>
    </row>
    <row r="63" spans="1:12" x14ac:dyDescent="0.35">
      <c r="A63" s="129"/>
      <c r="B63" s="129"/>
      <c r="C63" s="129"/>
      <c r="D63" s="129"/>
      <c r="E63" s="129"/>
      <c r="F63" s="129"/>
      <c r="G63" s="129"/>
      <c r="H63" s="791"/>
      <c r="I63" s="129"/>
      <c r="J63" s="129"/>
      <c r="K63" s="129"/>
      <c r="L63" s="129"/>
    </row>
    <row r="64" spans="1:12" x14ac:dyDescent="0.35">
      <c r="A64" s="129"/>
      <c r="B64" s="129"/>
      <c r="C64" s="129"/>
      <c r="D64" s="129"/>
      <c r="E64" s="129"/>
      <c r="F64" s="129"/>
      <c r="G64" s="129"/>
      <c r="H64" s="791"/>
      <c r="I64" s="129"/>
      <c r="J64" s="129"/>
      <c r="K64" s="129"/>
      <c r="L64" s="129"/>
    </row>
    <row r="65" spans="1:12" x14ac:dyDescent="0.35">
      <c r="A65" s="129"/>
      <c r="B65" s="129"/>
      <c r="C65" s="129"/>
      <c r="D65" s="129"/>
      <c r="E65" s="129"/>
      <c r="F65" s="129"/>
      <c r="G65" s="129"/>
      <c r="H65" s="791"/>
      <c r="I65" s="129"/>
      <c r="J65" s="129"/>
      <c r="K65" s="129"/>
      <c r="L65" s="129"/>
    </row>
    <row r="66" spans="1:12" x14ac:dyDescent="0.35">
      <c r="A66" s="129"/>
      <c r="B66" s="129"/>
      <c r="C66" s="129"/>
      <c r="D66" s="129"/>
      <c r="E66" s="129"/>
      <c r="F66" s="129"/>
      <c r="G66" s="129"/>
      <c r="H66" s="791"/>
      <c r="I66" s="129"/>
      <c r="J66" s="129"/>
      <c r="K66" s="129"/>
      <c r="L66" s="129"/>
    </row>
    <row r="67" spans="1:12" x14ac:dyDescent="0.35">
      <c r="B67" s="129"/>
      <c r="C67" s="129"/>
      <c r="D67" s="129"/>
      <c r="E67" s="129"/>
      <c r="F67" s="129"/>
      <c r="G67" s="787"/>
      <c r="H67" s="783"/>
      <c r="I67" s="787"/>
      <c r="J67" s="787"/>
      <c r="K67" s="787"/>
      <c r="L67" s="129"/>
    </row>
    <row r="68" spans="1:12" x14ac:dyDescent="0.35">
      <c r="B68" s="129"/>
      <c r="C68" s="129"/>
      <c r="D68" s="129"/>
      <c r="E68" s="129"/>
      <c r="F68" s="129"/>
      <c r="G68" s="787"/>
      <c r="H68" s="783"/>
      <c r="I68" s="787"/>
      <c r="J68" s="787"/>
      <c r="K68" s="787"/>
      <c r="L68" s="129"/>
    </row>
    <row r="69" spans="1:12" x14ac:dyDescent="0.35">
      <c r="B69" s="129"/>
      <c r="C69" s="129"/>
      <c r="D69" s="129"/>
      <c r="E69" s="129"/>
      <c r="F69" s="129"/>
      <c r="G69" s="787"/>
      <c r="H69" s="783"/>
      <c r="I69" s="787"/>
      <c r="J69" s="787"/>
      <c r="K69" s="787"/>
      <c r="L69" s="129"/>
    </row>
    <row r="70" spans="1:12" x14ac:dyDescent="0.35">
      <c r="B70" s="129"/>
      <c r="C70" s="129"/>
      <c r="D70" s="129"/>
      <c r="E70" s="129"/>
      <c r="F70" s="129"/>
      <c r="G70" s="787"/>
      <c r="H70" s="783"/>
      <c r="I70" s="787"/>
      <c r="J70" s="787"/>
      <c r="K70" s="787"/>
      <c r="L70" s="129"/>
    </row>
    <row r="71" spans="1:12" x14ac:dyDescent="0.35">
      <c r="B71" s="129"/>
      <c r="C71" s="129"/>
      <c r="D71" s="129"/>
      <c r="E71" s="129"/>
      <c r="F71" s="129"/>
      <c r="G71" s="787"/>
      <c r="H71" s="783"/>
      <c r="I71" s="787"/>
      <c r="J71" s="787"/>
      <c r="K71" s="787"/>
      <c r="L71" s="129"/>
    </row>
    <row r="72" spans="1:12" x14ac:dyDescent="0.35">
      <c r="B72" s="129"/>
      <c r="C72" s="129"/>
      <c r="D72" s="129"/>
      <c r="E72" s="129"/>
      <c r="F72" s="129"/>
      <c r="G72" s="787"/>
      <c r="H72" s="783"/>
      <c r="I72" s="787"/>
      <c r="J72" s="787"/>
      <c r="K72" s="787"/>
      <c r="L72" s="129"/>
    </row>
    <row r="73" spans="1:12" x14ac:dyDescent="0.35">
      <c r="B73" s="129"/>
      <c r="C73" s="129"/>
      <c r="D73" s="129"/>
      <c r="E73" s="129"/>
      <c r="F73" s="129"/>
      <c r="G73" s="787"/>
      <c r="H73" s="783"/>
      <c r="I73" s="787"/>
      <c r="J73" s="787"/>
      <c r="K73" s="787"/>
      <c r="L73" s="129"/>
    </row>
    <row r="74" spans="1:12" x14ac:dyDescent="0.35">
      <c r="B74" s="129"/>
      <c r="C74" s="129"/>
      <c r="D74" s="129"/>
      <c r="E74" s="129"/>
      <c r="F74" s="129"/>
      <c r="G74" s="787"/>
      <c r="H74" s="783"/>
      <c r="I74" s="787"/>
      <c r="J74" s="787"/>
      <c r="K74" s="787"/>
      <c r="L74" s="129"/>
    </row>
    <row r="75" spans="1:12" x14ac:dyDescent="0.35">
      <c r="B75" s="129"/>
      <c r="C75" s="129"/>
      <c r="D75" s="129"/>
      <c r="E75" s="129"/>
      <c r="F75" s="129"/>
      <c r="G75" s="787"/>
      <c r="H75" s="783"/>
      <c r="I75" s="787"/>
      <c r="J75" s="787"/>
      <c r="K75" s="787"/>
      <c r="L75" s="129"/>
    </row>
    <row r="76" spans="1:12" x14ac:dyDescent="0.35">
      <c r="B76" s="129"/>
      <c r="C76" s="129"/>
      <c r="D76" s="129"/>
      <c r="E76" s="129"/>
      <c r="F76" s="129"/>
      <c r="G76" s="787"/>
      <c r="H76" s="783"/>
      <c r="I76" s="787"/>
      <c r="J76" s="787"/>
      <c r="K76" s="787"/>
      <c r="L76" s="129"/>
    </row>
    <row r="77" spans="1:12" x14ac:dyDescent="0.35">
      <c r="B77" s="129"/>
      <c r="C77" s="129"/>
      <c r="D77" s="129"/>
      <c r="E77" s="129"/>
      <c r="F77" s="129"/>
      <c r="G77" s="787"/>
      <c r="H77" s="783"/>
      <c r="I77" s="787"/>
      <c r="J77" s="787"/>
      <c r="K77" s="787"/>
      <c r="L77" s="129"/>
    </row>
    <row r="78" spans="1:12" x14ac:dyDescent="0.35">
      <c r="B78" s="129"/>
      <c r="C78" s="129"/>
      <c r="D78" s="129"/>
      <c r="E78" s="129"/>
      <c r="F78" s="129"/>
      <c r="G78" s="787"/>
      <c r="H78" s="783"/>
      <c r="I78" s="787"/>
      <c r="J78" s="787"/>
      <c r="K78" s="787"/>
      <c r="L78" s="129"/>
    </row>
    <row r="79" spans="1:12" x14ac:dyDescent="0.35">
      <c r="B79" s="129"/>
      <c r="C79" s="129"/>
      <c r="D79" s="129"/>
      <c r="E79" s="129"/>
      <c r="F79" s="129"/>
      <c r="G79" s="787"/>
      <c r="H79" s="783"/>
      <c r="I79" s="787"/>
      <c r="J79" s="787"/>
      <c r="K79" s="787"/>
      <c r="L79" s="129"/>
    </row>
    <row r="80" spans="1:12" x14ac:dyDescent="0.35">
      <c r="B80" s="129"/>
      <c r="C80" s="129"/>
      <c r="D80" s="129"/>
      <c r="E80" s="129"/>
      <c r="F80" s="129"/>
      <c r="G80" s="787"/>
      <c r="H80" s="783"/>
      <c r="I80" s="787"/>
      <c r="J80" s="787"/>
      <c r="K80" s="787"/>
      <c r="L80" s="129"/>
    </row>
    <row r="81" spans="2:12" x14ac:dyDescent="0.35">
      <c r="B81" s="129"/>
      <c r="C81" s="129"/>
      <c r="D81" s="129"/>
      <c r="E81" s="129"/>
      <c r="F81" s="129"/>
      <c r="G81" s="787"/>
      <c r="H81" s="783"/>
      <c r="I81" s="787"/>
      <c r="J81" s="787"/>
      <c r="K81" s="787"/>
      <c r="L81" s="129"/>
    </row>
    <row r="82" spans="2:12" x14ac:dyDescent="0.35">
      <c r="B82" s="129"/>
      <c r="C82" s="129"/>
      <c r="D82" s="129"/>
      <c r="E82" s="129"/>
      <c r="F82" s="129"/>
      <c r="G82" s="787"/>
      <c r="H82" s="783"/>
      <c r="I82" s="787"/>
      <c r="J82" s="787"/>
      <c r="K82" s="787"/>
      <c r="L82" s="129"/>
    </row>
    <row r="83" spans="2:12" x14ac:dyDescent="0.35">
      <c r="B83" s="129"/>
      <c r="C83" s="129"/>
      <c r="D83" s="129"/>
      <c r="E83" s="129"/>
      <c r="F83" s="129"/>
      <c r="G83" s="787"/>
      <c r="H83" s="783"/>
      <c r="I83" s="787"/>
      <c r="J83" s="787"/>
      <c r="K83" s="787"/>
      <c r="L83" s="129"/>
    </row>
    <row r="84" spans="2:12" x14ac:dyDescent="0.35">
      <c r="B84" s="129"/>
      <c r="C84" s="129"/>
      <c r="D84" s="129"/>
      <c r="E84" s="129"/>
      <c r="F84" s="129"/>
      <c r="G84" s="787"/>
      <c r="H84" s="783"/>
      <c r="I84" s="787"/>
      <c r="J84" s="787"/>
      <c r="K84" s="787"/>
      <c r="L84" s="129"/>
    </row>
    <row r="85" spans="2:12" x14ac:dyDescent="0.35">
      <c r="B85" s="129"/>
      <c r="C85" s="129"/>
      <c r="D85" s="129"/>
      <c r="E85" s="129"/>
      <c r="F85" s="129"/>
      <c r="G85" s="787"/>
      <c r="H85" s="783"/>
      <c r="I85" s="787"/>
      <c r="J85" s="787"/>
      <c r="K85" s="787"/>
      <c r="L85" s="129"/>
    </row>
    <row r="86" spans="2:12" x14ac:dyDescent="0.35">
      <c r="B86" s="129"/>
      <c r="C86" s="129"/>
      <c r="D86" s="129"/>
      <c r="E86" s="129"/>
      <c r="F86" s="129"/>
      <c r="G86" s="787"/>
      <c r="H86" s="783"/>
      <c r="I86" s="787"/>
      <c r="J86" s="787"/>
      <c r="K86" s="787"/>
      <c r="L86" s="129"/>
    </row>
    <row r="87" spans="2:12" x14ac:dyDescent="0.35">
      <c r="B87" s="129"/>
      <c r="C87" s="129"/>
      <c r="D87" s="129"/>
      <c r="E87" s="129"/>
      <c r="F87" s="129"/>
      <c r="G87" s="787"/>
      <c r="H87" s="783"/>
      <c r="I87" s="787"/>
      <c r="J87" s="787"/>
      <c r="K87" s="787"/>
      <c r="L87" s="129"/>
    </row>
    <row r="88" spans="2:12" x14ac:dyDescent="0.35">
      <c r="B88" s="129"/>
      <c r="C88" s="129"/>
      <c r="D88" s="129"/>
      <c r="E88" s="129"/>
      <c r="F88" s="129"/>
      <c r="G88" s="787"/>
      <c r="H88" s="783"/>
      <c r="I88" s="787"/>
      <c r="J88" s="787"/>
      <c r="K88" s="787"/>
      <c r="L88" s="129"/>
    </row>
    <row r="89" spans="2:12" x14ac:dyDescent="0.35">
      <c r="B89" s="129"/>
      <c r="C89" s="129"/>
      <c r="D89" s="129"/>
      <c r="E89" s="129"/>
      <c r="F89" s="129"/>
      <c r="G89" s="787"/>
      <c r="H89" s="783"/>
      <c r="I89" s="787"/>
      <c r="J89" s="787"/>
      <c r="K89" s="787"/>
      <c r="L89" s="129"/>
    </row>
    <row r="90" spans="2:12" x14ac:dyDescent="0.35">
      <c r="B90" s="129"/>
      <c r="C90" s="129"/>
      <c r="D90" s="129"/>
      <c r="E90" s="129"/>
      <c r="F90" s="129"/>
      <c r="G90" s="787"/>
      <c r="H90" s="783"/>
      <c r="I90" s="787"/>
      <c r="J90" s="787"/>
      <c r="K90" s="787"/>
      <c r="L90" s="129"/>
    </row>
    <row r="91" spans="2:12" x14ac:dyDescent="0.35">
      <c r="B91" s="129"/>
      <c r="C91" s="129"/>
      <c r="D91" s="129"/>
      <c r="E91" s="129"/>
      <c r="F91" s="129"/>
      <c r="G91" s="787"/>
      <c r="H91" s="783"/>
      <c r="I91" s="787"/>
      <c r="J91" s="787"/>
      <c r="K91" s="787"/>
      <c r="L91" s="129"/>
    </row>
    <row r="92" spans="2:12" x14ac:dyDescent="0.35">
      <c r="B92" s="129"/>
      <c r="C92" s="129"/>
      <c r="D92" s="129"/>
      <c r="E92" s="129"/>
      <c r="F92" s="129"/>
      <c r="G92" s="787"/>
      <c r="H92" s="783"/>
      <c r="I92" s="787"/>
      <c r="J92" s="787"/>
      <c r="K92" s="787"/>
      <c r="L92" s="129"/>
    </row>
    <row r="93" spans="2:12" x14ac:dyDescent="0.35">
      <c r="B93" s="129"/>
      <c r="C93" s="129"/>
      <c r="D93" s="129"/>
      <c r="E93" s="129"/>
      <c r="F93" s="129"/>
      <c r="G93" s="787"/>
      <c r="H93" s="783"/>
      <c r="I93" s="787"/>
      <c r="J93" s="787"/>
      <c r="K93" s="787"/>
      <c r="L93" s="129"/>
    </row>
    <row r="94" spans="2:12" x14ac:dyDescent="0.35">
      <c r="B94" s="129"/>
      <c r="C94" s="129"/>
      <c r="D94" s="129"/>
      <c r="E94" s="129"/>
      <c r="F94" s="129"/>
      <c r="G94" s="787"/>
      <c r="H94" s="783"/>
      <c r="I94" s="787"/>
      <c r="J94" s="787"/>
      <c r="K94" s="787"/>
      <c r="L94" s="129"/>
    </row>
    <row r="95" spans="2:12" x14ac:dyDescent="0.35">
      <c r="B95" s="129"/>
      <c r="C95" s="129"/>
      <c r="D95" s="129"/>
      <c r="E95" s="129"/>
      <c r="F95" s="129"/>
      <c r="G95" s="787"/>
      <c r="H95" s="783"/>
      <c r="I95" s="787"/>
      <c r="J95" s="787"/>
      <c r="K95" s="787"/>
      <c r="L95" s="129"/>
    </row>
    <row r="96" spans="2:12" x14ac:dyDescent="0.35">
      <c r="B96" s="129"/>
      <c r="C96" s="129"/>
      <c r="D96" s="129"/>
      <c r="E96" s="129"/>
      <c r="F96" s="129"/>
      <c r="G96" s="787"/>
      <c r="H96" s="783"/>
      <c r="I96" s="787"/>
      <c r="J96" s="787"/>
      <c r="K96" s="787"/>
      <c r="L96" s="129"/>
    </row>
    <row r="97" spans="2:12" x14ac:dyDescent="0.35">
      <c r="B97" s="129"/>
      <c r="C97" s="129"/>
      <c r="D97" s="129"/>
      <c r="E97" s="129"/>
      <c r="F97" s="129"/>
      <c r="G97" s="787"/>
      <c r="H97" s="783"/>
      <c r="I97" s="787"/>
      <c r="J97" s="787"/>
      <c r="K97" s="787"/>
      <c r="L97" s="129"/>
    </row>
    <row r="98" spans="2:12" x14ac:dyDescent="0.35">
      <c r="B98" s="129"/>
      <c r="C98" s="129"/>
      <c r="D98" s="129"/>
      <c r="E98" s="129"/>
      <c r="F98" s="129"/>
      <c r="G98" s="787"/>
      <c r="H98" s="783"/>
      <c r="I98" s="787"/>
      <c r="J98" s="787"/>
      <c r="K98" s="787"/>
      <c r="L98" s="129"/>
    </row>
    <row r="99" spans="2:12" x14ac:dyDescent="0.35">
      <c r="B99" s="129"/>
      <c r="C99" s="129"/>
      <c r="D99" s="129"/>
      <c r="E99" s="129"/>
      <c r="F99" s="129"/>
      <c r="G99" s="787"/>
      <c r="H99" s="783"/>
      <c r="I99" s="787"/>
      <c r="J99" s="787"/>
      <c r="K99" s="787"/>
      <c r="L99" s="129"/>
    </row>
    <row r="100" spans="2:12" x14ac:dyDescent="0.35">
      <c r="B100" s="129"/>
      <c r="C100" s="129"/>
      <c r="D100" s="129"/>
      <c r="E100" s="129"/>
      <c r="F100" s="129"/>
      <c r="G100" s="787"/>
      <c r="H100" s="783"/>
      <c r="I100" s="787"/>
      <c r="J100" s="787"/>
      <c r="K100" s="787"/>
      <c r="L100" s="129"/>
    </row>
    <row r="101" spans="2:12" x14ac:dyDescent="0.35">
      <c r="B101" s="129"/>
      <c r="C101" s="129"/>
      <c r="D101" s="129"/>
      <c r="E101" s="129"/>
      <c r="F101" s="129"/>
      <c r="G101" s="787"/>
      <c r="H101" s="783"/>
      <c r="I101" s="787"/>
      <c r="J101" s="787"/>
      <c r="K101" s="787"/>
      <c r="L101" s="129"/>
    </row>
    <row r="102" spans="2:12" x14ac:dyDescent="0.35">
      <c r="B102" s="129"/>
      <c r="C102" s="129"/>
      <c r="D102" s="129"/>
      <c r="E102" s="129"/>
      <c r="F102" s="129"/>
      <c r="G102" s="787"/>
      <c r="H102" s="783"/>
      <c r="I102" s="787"/>
      <c r="J102" s="787"/>
      <c r="K102" s="787"/>
      <c r="L102" s="129"/>
    </row>
    <row r="103" spans="2:12" x14ac:dyDescent="0.35">
      <c r="B103" s="129"/>
      <c r="C103" s="129"/>
      <c r="D103" s="129"/>
      <c r="E103" s="129"/>
      <c r="F103" s="129"/>
      <c r="G103" s="787"/>
      <c r="H103" s="783"/>
      <c r="I103" s="787"/>
      <c r="J103" s="787"/>
      <c r="K103" s="787"/>
      <c r="L103" s="129"/>
    </row>
    <row r="104" spans="2:12" x14ac:dyDescent="0.35">
      <c r="B104" s="129"/>
      <c r="C104" s="129"/>
      <c r="D104" s="129"/>
      <c r="E104" s="129"/>
      <c r="F104" s="129"/>
      <c r="G104" s="787"/>
      <c r="H104" s="783"/>
      <c r="I104" s="787"/>
      <c r="J104" s="787"/>
      <c r="K104" s="787"/>
      <c r="L104" s="129"/>
    </row>
    <row r="105" spans="2:12" x14ac:dyDescent="0.35">
      <c r="B105" s="129"/>
      <c r="C105" s="129"/>
      <c r="D105" s="129"/>
      <c r="E105" s="129"/>
      <c r="F105" s="129"/>
      <c r="G105" s="787"/>
      <c r="H105" s="783"/>
      <c r="I105" s="787"/>
      <c r="J105" s="787"/>
      <c r="K105" s="787"/>
      <c r="L105" s="129"/>
    </row>
    <row r="106" spans="2:12" x14ac:dyDescent="0.35">
      <c r="B106" s="129"/>
      <c r="C106" s="129"/>
      <c r="D106" s="129"/>
      <c r="E106" s="129"/>
      <c r="F106" s="129"/>
      <c r="G106" s="787"/>
      <c r="H106" s="783"/>
      <c r="I106" s="787"/>
      <c r="J106" s="787"/>
      <c r="K106" s="787"/>
      <c r="L106" s="129"/>
    </row>
    <row r="107" spans="2:12" x14ac:dyDescent="0.35">
      <c r="B107" s="129"/>
      <c r="C107" s="129"/>
      <c r="D107" s="129"/>
      <c r="E107" s="129"/>
      <c r="F107" s="129"/>
      <c r="G107" s="787"/>
      <c r="H107" s="783"/>
      <c r="I107" s="787"/>
      <c r="J107" s="787"/>
      <c r="K107" s="787"/>
      <c r="L107" s="129"/>
    </row>
    <row r="108" spans="2:12" x14ac:dyDescent="0.35">
      <c r="B108" s="129"/>
      <c r="C108" s="129"/>
      <c r="D108" s="129"/>
      <c r="E108" s="129"/>
      <c r="F108" s="129"/>
      <c r="G108" s="787"/>
      <c r="H108" s="783"/>
      <c r="I108" s="787"/>
      <c r="J108" s="787"/>
      <c r="K108" s="787"/>
      <c r="L108" s="129"/>
    </row>
    <row r="109" spans="2:12" x14ac:dyDescent="0.35">
      <c r="B109" s="129"/>
      <c r="C109" s="129"/>
      <c r="D109" s="129"/>
      <c r="E109" s="129"/>
      <c r="F109" s="129"/>
      <c r="G109" s="787"/>
      <c r="H109" s="783"/>
      <c r="I109" s="787"/>
      <c r="J109" s="787"/>
      <c r="K109" s="787"/>
      <c r="L109" s="129"/>
    </row>
    <row r="110" spans="2:12" x14ac:dyDescent="0.35">
      <c r="B110" s="129"/>
      <c r="C110" s="129"/>
      <c r="D110" s="129"/>
      <c r="E110" s="129"/>
      <c r="F110" s="129"/>
      <c r="G110" s="787"/>
      <c r="H110" s="783"/>
      <c r="I110" s="787"/>
      <c r="J110" s="787"/>
      <c r="K110" s="787"/>
      <c r="L110" s="129"/>
    </row>
    <row r="111" spans="2:12" x14ac:dyDescent="0.35">
      <c r="B111" s="129"/>
      <c r="C111" s="129"/>
      <c r="D111" s="129"/>
      <c r="E111" s="129"/>
      <c r="F111" s="129"/>
      <c r="G111" s="787"/>
      <c r="H111" s="783"/>
      <c r="I111" s="787"/>
      <c r="J111" s="787"/>
      <c r="K111" s="787"/>
      <c r="L111" s="129"/>
    </row>
    <row r="112" spans="2:12" x14ac:dyDescent="0.35">
      <c r="B112" s="129"/>
      <c r="C112" s="129"/>
      <c r="D112" s="129"/>
      <c r="E112" s="129"/>
      <c r="F112" s="129"/>
      <c r="G112" s="787"/>
      <c r="H112" s="783"/>
      <c r="I112" s="787"/>
      <c r="J112" s="787"/>
      <c r="K112" s="787"/>
      <c r="L112" s="129"/>
    </row>
    <row r="113" spans="2:12" x14ac:dyDescent="0.35">
      <c r="B113" s="129"/>
      <c r="C113" s="129"/>
      <c r="D113" s="129"/>
      <c r="E113" s="129"/>
      <c r="F113" s="129"/>
      <c r="G113" s="787"/>
      <c r="H113" s="783"/>
      <c r="I113" s="787"/>
      <c r="J113" s="787"/>
      <c r="K113" s="787"/>
      <c r="L113" s="129"/>
    </row>
    <row r="114" spans="2:12" x14ac:dyDescent="0.35">
      <c r="B114" s="129"/>
      <c r="C114" s="129"/>
      <c r="D114" s="129"/>
      <c r="E114" s="129"/>
      <c r="F114" s="129"/>
      <c r="G114" s="787"/>
      <c r="H114" s="783"/>
      <c r="I114" s="787"/>
      <c r="J114" s="787"/>
      <c r="K114" s="787"/>
      <c r="L114" s="129"/>
    </row>
    <row r="115" spans="2:12" x14ac:dyDescent="0.35">
      <c r="B115" s="129"/>
      <c r="C115" s="129"/>
      <c r="D115" s="129"/>
      <c r="E115" s="129"/>
      <c r="F115" s="129"/>
      <c r="G115" s="787"/>
      <c r="H115" s="783"/>
      <c r="I115" s="787"/>
      <c r="J115" s="787"/>
      <c r="K115" s="787"/>
      <c r="L115" s="129"/>
    </row>
    <row r="116" spans="2:12" x14ac:dyDescent="0.35">
      <c r="B116" s="129"/>
      <c r="C116" s="129"/>
      <c r="D116" s="129"/>
      <c r="E116" s="129"/>
      <c r="F116" s="129"/>
      <c r="G116" s="787"/>
      <c r="H116" s="783"/>
      <c r="I116" s="787"/>
      <c r="J116" s="787"/>
      <c r="K116" s="787"/>
      <c r="L116" s="129"/>
    </row>
    <row r="117" spans="2:12" x14ac:dyDescent="0.35">
      <c r="B117" s="129"/>
      <c r="C117" s="129"/>
      <c r="D117" s="129"/>
      <c r="E117" s="129"/>
      <c r="F117" s="129"/>
      <c r="G117" s="787"/>
      <c r="H117" s="783"/>
      <c r="I117" s="787"/>
      <c r="J117" s="787"/>
      <c r="K117" s="787"/>
      <c r="L117" s="129"/>
    </row>
    <row r="118" spans="2:12" x14ac:dyDescent="0.35">
      <c r="B118" s="129"/>
      <c r="C118" s="129"/>
      <c r="D118" s="129"/>
      <c r="E118" s="129"/>
      <c r="F118" s="129"/>
      <c r="G118" s="787"/>
      <c r="H118" s="783"/>
      <c r="I118" s="787"/>
      <c r="J118" s="787"/>
      <c r="K118" s="787"/>
      <c r="L118" s="129"/>
    </row>
    <row r="119" spans="2:12" x14ac:dyDescent="0.35">
      <c r="B119" s="129"/>
      <c r="C119" s="129"/>
      <c r="D119" s="129"/>
      <c r="E119" s="129"/>
      <c r="F119" s="129"/>
      <c r="G119" s="787"/>
      <c r="H119" s="783"/>
      <c r="I119" s="787"/>
      <c r="J119" s="787"/>
      <c r="K119" s="787"/>
      <c r="L119" s="129"/>
    </row>
    <row r="120" spans="2:12" x14ac:dyDescent="0.35">
      <c r="B120" s="129"/>
      <c r="C120" s="129"/>
      <c r="D120" s="129"/>
      <c r="E120" s="129"/>
      <c r="F120" s="129"/>
      <c r="G120" s="787"/>
      <c r="H120" s="783"/>
      <c r="I120" s="787"/>
      <c r="J120" s="787"/>
      <c r="K120" s="787"/>
      <c r="L120" s="129"/>
    </row>
    <row r="121" spans="2:12" x14ac:dyDescent="0.35">
      <c r="B121" s="129"/>
      <c r="C121" s="129"/>
      <c r="D121" s="129"/>
      <c r="E121" s="129"/>
      <c r="F121" s="129"/>
      <c r="G121" s="787"/>
      <c r="H121" s="783"/>
      <c r="I121" s="787"/>
      <c r="J121" s="787"/>
      <c r="K121" s="787"/>
      <c r="L121" s="129"/>
    </row>
    <row r="122" spans="2:12" x14ac:dyDescent="0.35">
      <c r="B122" s="129"/>
      <c r="C122" s="129"/>
      <c r="D122" s="129"/>
      <c r="E122" s="129"/>
      <c r="F122" s="129"/>
      <c r="G122" s="787"/>
      <c r="H122" s="783"/>
      <c r="I122" s="787"/>
      <c r="J122" s="787"/>
      <c r="K122" s="787"/>
      <c r="L122" s="129"/>
    </row>
    <row r="123" spans="2:12" x14ac:dyDescent="0.35">
      <c r="B123" s="129"/>
      <c r="C123" s="129"/>
      <c r="D123" s="129"/>
      <c r="E123" s="129"/>
      <c r="F123" s="129"/>
      <c r="G123" s="787"/>
      <c r="H123" s="783"/>
      <c r="I123" s="787"/>
      <c r="J123" s="787"/>
      <c r="K123" s="787"/>
      <c r="L123" s="129"/>
    </row>
    <row r="124" spans="2:12" x14ac:dyDescent="0.35">
      <c r="B124" s="129"/>
      <c r="C124" s="129"/>
      <c r="D124" s="129"/>
      <c r="E124" s="129"/>
      <c r="F124" s="129"/>
      <c r="G124" s="787"/>
      <c r="H124" s="783"/>
      <c r="I124" s="787"/>
      <c r="J124" s="787"/>
      <c r="K124" s="787"/>
      <c r="L124" s="129"/>
    </row>
    <row r="125" spans="2:12" x14ac:dyDescent="0.35">
      <c r="B125" s="129"/>
      <c r="C125" s="129"/>
      <c r="D125" s="129"/>
      <c r="E125" s="129"/>
      <c r="F125" s="129"/>
      <c r="G125" s="787"/>
      <c r="H125" s="783"/>
      <c r="I125" s="787"/>
      <c r="J125" s="787"/>
      <c r="K125" s="787"/>
      <c r="L125" s="129"/>
    </row>
    <row r="126" spans="2:12" x14ac:dyDescent="0.35">
      <c r="B126" s="129"/>
      <c r="C126" s="129"/>
      <c r="D126" s="129"/>
      <c r="E126" s="129"/>
      <c r="F126" s="129"/>
      <c r="G126" s="787"/>
      <c r="H126" s="783"/>
      <c r="I126" s="787"/>
      <c r="J126" s="787"/>
      <c r="K126" s="787"/>
      <c r="L126" s="129"/>
    </row>
    <row r="127" spans="2:12" x14ac:dyDescent="0.35">
      <c r="B127" s="129"/>
      <c r="C127" s="129"/>
      <c r="D127" s="129"/>
      <c r="E127" s="129"/>
      <c r="F127" s="129"/>
      <c r="G127" s="787"/>
      <c r="H127" s="783"/>
      <c r="I127" s="787"/>
      <c r="J127" s="787"/>
      <c r="K127" s="787"/>
      <c r="L127" s="129"/>
    </row>
    <row r="128" spans="2:12" x14ac:dyDescent="0.35">
      <c r="B128" s="129"/>
      <c r="C128" s="129"/>
      <c r="D128" s="129"/>
      <c r="E128" s="129"/>
      <c r="F128" s="129"/>
      <c r="G128" s="787"/>
      <c r="H128" s="783"/>
      <c r="I128" s="787"/>
      <c r="J128" s="787"/>
      <c r="K128" s="787"/>
      <c r="L128" s="129"/>
    </row>
    <row r="129" spans="2:12" x14ac:dyDescent="0.35">
      <c r="B129" s="129"/>
      <c r="C129" s="129"/>
      <c r="D129" s="129"/>
      <c r="E129" s="129"/>
      <c r="F129" s="129"/>
      <c r="G129" s="787"/>
      <c r="H129" s="783"/>
      <c r="I129" s="787"/>
      <c r="J129" s="787"/>
      <c r="K129" s="787"/>
      <c r="L129" s="129"/>
    </row>
    <row r="130" spans="2:12" x14ac:dyDescent="0.35">
      <c r="B130" s="129"/>
      <c r="C130" s="129"/>
      <c r="D130" s="129"/>
      <c r="E130" s="129"/>
      <c r="F130" s="129"/>
      <c r="G130" s="787"/>
      <c r="H130" s="783"/>
      <c r="I130" s="787"/>
      <c r="J130" s="787"/>
      <c r="K130" s="787"/>
      <c r="L130" s="129"/>
    </row>
    <row r="131" spans="2:12" x14ac:dyDescent="0.35">
      <c r="B131" s="129"/>
      <c r="C131" s="129"/>
      <c r="D131" s="129"/>
      <c r="E131" s="129"/>
      <c r="F131" s="129"/>
      <c r="G131" s="787"/>
      <c r="H131" s="783"/>
      <c r="I131" s="787"/>
      <c r="J131" s="787"/>
      <c r="K131" s="787"/>
      <c r="L131" s="129"/>
    </row>
    <row r="132" spans="2:12" x14ac:dyDescent="0.35">
      <c r="B132" s="129"/>
      <c r="C132" s="129"/>
      <c r="D132" s="129"/>
      <c r="E132" s="129"/>
      <c r="F132" s="129"/>
      <c r="G132" s="787"/>
      <c r="H132" s="783"/>
      <c r="I132" s="787"/>
      <c r="J132" s="787"/>
      <c r="K132" s="787"/>
      <c r="L132" s="129"/>
    </row>
    <row r="133" spans="2:12" x14ac:dyDescent="0.35">
      <c r="B133" s="129"/>
      <c r="C133" s="129"/>
      <c r="D133" s="129"/>
      <c r="E133" s="129"/>
      <c r="F133" s="129"/>
      <c r="G133" s="787"/>
      <c r="H133" s="783"/>
      <c r="I133" s="787"/>
      <c r="J133" s="787"/>
      <c r="K133" s="787"/>
      <c r="L133" s="129"/>
    </row>
    <row r="134" spans="2:12" x14ac:dyDescent="0.35">
      <c r="B134" s="129"/>
      <c r="C134" s="129"/>
      <c r="D134" s="129"/>
      <c r="E134" s="129"/>
      <c r="F134" s="129"/>
      <c r="G134" s="787"/>
      <c r="H134" s="783"/>
      <c r="I134" s="787"/>
      <c r="J134" s="787"/>
      <c r="K134" s="787"/>
      <c r="L134" s="129"/>
    </row>
  </sheetData>
  <sheetProtection algorithmName="SHA-512" hashValue="vokcopKfNwfcGOcw/7oC7rT1qS3oA5h5lJ3Jmvg/4CR64IwRW+UOAdV4pjS5/Re7d9Z6uHdK+BqUugfRYTOsDg==" saltValue="y0/CmuEIUqkH6kp+jMegvg==" spinCount="100000" sheet="1" objects="1" scenarios="1" selectLockedCells="1"/>
  <conditionalFormatting sqref="G11:G14 G17:G20">
    <cfRule type="containsText" dxfId="124" priority="8" operator="containsText" text="Y">
      <formula>NOT(ISERROR(SEARCH("Y",G11)))</formula>
    </cfRule>
  </conditionalFormatting>
  <conditionalFormatting sqref="G24 G26">
    <cfRule type="containsText" dxfId="123" priority="6" operator="containsText" text="Y">
      <formula>NOT(ISERROR(SEARCH("Y",G24)))</formula>
    </cfRule>
  </conditionalFormatting>
  <conditionalFormatting sqref="H17:H20">
    <cfRule type="containsBlanks" dxfId="122" priority="9">
      <formula>LEN(TRIM(H17))=0</formula>
    </cfRule>
  </conditionalFormatting>
  <dataValidations count="4">
    <dataValidation type="list" allowBlank="1" showInputMessage="1" showErrorMessage="1" sqref="D38" xr:uid="{0091893B-07E3-4306-9160-73CEFDEC577F}">
      <formula1>"Central, Northern, Southern"</formula1>
    </dataValidation>
    <dataValidation type="list" allowBlank="1" showInputMessage="1" showErrorMessage="1" sqref="G21" xr:uid="{A9D2F520-8E53-4C2E-947F-9A58B76202C6}">
      <formula1>$P$12:$P$14</formula1>
    </dataValidation>
    <dataValidation type="list" allowBlank="1" showInputMessage="1" showErrorMessage="1" sqref="G11:G14 G17:G20" xr:uid="{76DC6493-09C0-4F96-A22B-5A9687FAFB28}">
      <formula1>"Y, N"</formula1>
    </dataValidation>
    <dataValidation type="list" allowBlank="1" showInputMessage="1" showErrorMessage="1" sqref="G24 G26" xr:uid="{0834FBD8-1BC6-4259-94AB-2B8354451F32}">
      <formula1>"Y,N"</formula1>
    </dataValidation>
  </dataValidations>
  <pageMargins left="0.25" right="0.25" top="0.75" bottom="0.75" header="0.3" footer="0.3"/>
  <pageSetup scale="63"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86BC0-76C3-44B4-B260-9B0473579430}">
  <sheetPr codeName="Sheet14"/>
  <dimension ref="B2:X100"/>
  <sheetViews>
    <sheetView zoomScale="130" zoomScaleNormal="130" workbookViewId="0">
      <selection activeCell="T23" sqref="T23"/>
    </sheetView>
  </sheetViews>
  <sheetFormatPr defaultColWidth="9.1796875" defaultRowHeight="12.5" x14ac:dyDescent="0.25"/>
  <cols>
    <col min="1" max="1" width="4.7265625" style="723" customWidth="1"/>
    <col min="2" max="2" width="12.7265625" style="722" customWidth="1"/>
    <col min="3" max="3" width="11.453125" style="722" customWidth="1"/>
    <col min="4" max="4" width="7.81640625" style="722" customWidth="1"/>
    <col min="5" max="7" width="8.453125" style="722" customWidth="1"/>
    <col min="8" max="8" width="8.1796875" style="722" customWidth="1"/>
    <col min="9" max="19" width="9.1796875" style="723"/>
    <col min="20" max="20" width="25.54296875" style="723" customWidth="1"/>
    <col min="21" max="16384" width="9.1796875" style="723"/>
  </cols>
  <sheetData>
    <row r="2" spans="2:24" x14ac:dyDescent="0.25">
      <c r="B2" s="722" t="s">
        <v>43</v>
      </c>
      <c r="C2" s="722" t="s">
        <v>44</v>
      </c>
      <c r="D2" s="722" t="s">
        <v>45</v>
      </c>
    </row>
    <row r="3" spans="2:24" ht="37.5" x14ac:dyDescent="0.25">
      <c r="B3" s="724" t="s">
        <v>46</v>
      </c>
      <c r="C3" s="724" t="s">
        <v>47</v>
      </c>
      <c r="D3" s="724" t="s">
        <v>48</v>
      </c>
      <c r="E3" s="725" t="s">
        <v>49</v>
      </c>
      <c r="F3" s="725" t="s">
        <v>50</v>
      </c>
      <c r="G3" s="725" t="s">
        <v>51</v>
      </c>
    </row>
    <row r="4" spans="2:24" x14ac:dyDescent="0.25">
      <c r="B4" s="724"/>
      <c r="C4" s="724">
        <v>0</v>
      </c>
      <c r="D4" s="724">
        <v>1</v>
      </c>
      <c r="E4" s="725"/>
      <c r="F4" s="725"/>
      <c r="G4" s="725"/>
      <c r="T4" s="717" t="s">
        <v>31</v>
      </c>
      <c r="U4" s="718" t="s">
        <v>32</v>
      </c>
      <c r="V4" s="718" t="s">
        <v>40</v>
      </c>
    </row>
    <row r="5" spans="2:24" x14ac:dyDescent="0.25">
      <c r="B5" s="722">
        <v>0</v>
      </c>
      <c r="C5" s="722">
        <v>10</v>
      </c>
      <c r="D5" s="726">
        <v>1</v>
      </c>
      <c r="E5" s="727"/>
      <c r="F5" s="728"/>
      <c r="G5" s="728">
        <v>0</v>
      </c>
      <c r="I5" s="722">
        <f>C6-B6</f>
        <v>39</v>
      </c>
      <c r="T5" s="719" t="s">
        <v>319</v>
      </c>
      <c r="U5" s="720">
        <v>10</v>
      </c>
      <c r="V5" s="741">
        <v>7000</v>
      </c>
    </row>
    <row r="6" spans="2:24" x14ac:dyDescent="0.25">
      <c r="B6" s="722">
        <v>11</v>
      </c>
      <c r="C6" s="722">
        <v>50</v>
      </c>
      <c r="D6" s="726">
        <v>1.5</v>
      </c>
      <c r="E6" s="729">
        <f>(D6-D5)/(C6-C5)</f>
        <v>1.2500000000000001E-2</v>
      </c>
      <c r="F6" s="730">
        <f>D5</f>
        <v>1</v>
      </c>
      <c r="G6" s="728">
        <f>C5</f>
        <v>10</v>
      </c>
      <c r="I6" s="722">
        <f>C7-B7</f>
        <v>19</v>
      </c>
      <c r="T6" s="719" t="s">
        <v>389</v>
      </c>
      <c r="U6" s="720">
        <v>8</v>
      </c>
      <c r="V6" s="741">
        <v>12000</v>
      </c>
    </row>
    <row r="7" spans="2:24" x14ac:dyDescent="0.25">
      <c r="B7" s="722">
        <v>51</v>
      </c>
      <c r="C7" s="722">
        <v>70</v>
      </c>
      <c r="D7" s="726">
        <v>2</v>
      </c>
      <c r="E7" s="729">
        <f>(D7-D6)/(C7-C6)</f>
        <v>2.5000000000000001E-2</v>
      </c>
      <c r="F7" s="730">
        <f>D6</f>
        <v>1.5</v>
      </c>
      <c r="G7" s="728">
        <f>C6</f>
        <v>50</v>
      </c>
      <c r="I7" s="722"/>
      <c r="T7" s="719" t="s">
        <v>36</v>
      </c>
      <c r="U7" s="720">
        <v>14</v>
      </c>
      <c r="V7" s="741">
        <v>12500</v>
      </c>
    </row>
    <row r="8" spans="2:24" x14ac:dyDescent="0.25">
      <c r="C8" s="731">
        <v>85</v>
      </c>
      <c r="D8" s="732">
        <f>D7</f>
        <v>2</v>
      </c>
    </row>
    <row r="10" spans="2:24" x14ac:dyDescent="0.25">
      <c r="B10" s="733" t="s">
        <v>52</v>
      </c>
    </row>
    <row r="11" spans="2:24" ht="25" x14ac:dyDescent="0.35">
      <c r="B11" s="724" t="s">
        <v>53</v>
      </c>
      <c r="C11" s="724" t="s">
        <v>54</v>
      </c>
      <c r="D11" s="724" t="s">
        <v>49</v>
      </c>
      <c r="E11" s="724" t="s">
        <v>50</v>
      </c>
      <c r="F11" s="724" t="s">
        <v>51</v>
      </c>
      <c r="G11" s="724" t="s">
        <v>55</v>
      </c>
      <c r="H11" s="724" t="s">
        <v>56</v>
      </c>
      <c r="T11" s="249" t="s">
        <v>26</v>
      </c>
      <c r="U11" s="249"/>
      <c r="V11" s="249"/>
      <c r="W11" s="721" t="s">
        <v>23</v>
      </c>
      <c r="X11" s="249"/>
    </row>
    <row r="12" spans="2:24" ht="13" x14ac:dyDescent="0.3">
      <c r="B12" s="734">
        <f>'Well P&amp;A Cost (Single Well)'!G28</f>
        <v>47</v>
      </c>
      <c r="C12" s="735">
        <f>IF($B12&gt;=$B$7, $D$7, IF( $B12 &gt;=$B$6, $D$6, $D$5) )</f>
        <v>1.5</v>
      </c>
      <c r="D12" s="736">
        <f>IF($B12&gt;=$B$7, $E$7, IF( $B12 &gt;=$B$6, $E$6, $E$5) )</f>
        <v>1.2500000000000001E-2</v>
      </c>
      <c r="E12" s="736">
        <f>IF($B12&gt;=$B$7,$F$7,IF($B12&gt;=$B$6,$F$6,$F$5))</f>
        <v>1</v>
      </c>
      <c r="F12" s="736">
        <f>IF($B12&gt;=$B$7, $G$7, IF( $B12 &gt;=$B$6, $G$6, $G$5) )</f>
        <v>10</v>
      </c>
      <c r="G12" s="736">
        <f>B12-F12</f>
        <v>37</v>
      </c>
      <c r="H12" s="737">
        <f>IF($B12&lt;B$6,  $D$5,  IF($B12 &gt;= $C$7, $D$7,  $G12*$D12+$E12))</f>
        <v>1.4624999999999999</v>
      </c>
      <c r="T12" s="305" t="s">
        <v>27</v>
      </c>
      <c r="U12" s="306">
        <v>1</v>
      </c>
      <c r="V12" s="306"/>
      <c r="W12" s="266">
        <v>0</v>
      </c>
      <c r="X12" s="306">
        <v>1</v>
      </c>
    </row>
    <row r="13" spans="2:24" ht="13" x14ac:dyDescent="0.3">
      <c r="T13" s="307" t="s">
        <v>41</v>
      </c>
      <c r="U13" s="250">
        <v>1.2</v>
      </c>
      <c r="V13" s="250"/>
      <c r="W13" s="878">
        <v>1000</v>
      </c>
      <c r="X13" s="306">
        <v>1.1000000000000001</v>
      </c>
    </row>
    <row r="14" spans="2:24" ht="13" x14ac:dyDescent="0.3">
      <c r="B14" s="738" t="s">
        <v>57</v>
      </c>
      <c r="C14" s="738" t="s">
        <v>58</v>
      </c>
      <c r="E14" s="739" t="s">
        <v>49</v>
      </c>
      <c r="F14" s="739" t="s">
        <v>59</v>
      </c>
      <c r="G14" s="739" t="s">
        <v>60</v>
      </c>
      <c r="H14" s="739" t="s">
        <v>55</v>
      </c>
      <c r="T14" s="311" t="s">
        <v>42</v>
      </c>
      <c r="U14" s="272">
        <v>1.6</v>
      </c>
      <c r="V14" s="272"/>
      <c r="W14" s="878">
        <v>3000</v>
      </c>
      <c r="X14" s="306">
        <v>1.2</v>
      </c>
    </row>
    <row r="15" spans="2:24" ht="13" x14ac:dyDescent="0.3">
      <c r="B15" s="728">
        <v>0</v>
      </c>
      <c r="C15" s="735">
        <f>IF(B15&lt;$B$6,  $D$5,  IF(B15 &gt;= $C$7, $D$7,  H15*E15+F15))</f>
        <v>1</v>
      </c>
      <c r="E15" s="740">
        <f>IF($B15&gt;=$B$7,$E$7,IF($B15&gt;=$B$6,$E$6,$E$5))</f>
        <v>0</v>
      </c>
      <c r="F15" s="740">
        <f>IF($B15&gt;=$B$7,$F$7,IF($B15&gt;=$B$6,$F$6,$F$5))</f>
        <v>0</v>
      </c>
      <c r="G15" s="740">
        <f>IF($B15&gt;=$B$7,$G$7,IF($B15&gt;=$B$6,$G$6,$G$5))</f>
        <v>0</v>
      </c>
      <c r="H15" s="740">
        <f>B15-G15</f>
        <v>0</v>
      </c>
      <c r="T15" s="316" t="s">
        <v>28</v>
      </c>
      <c r="U15" s="306">
        <v>2</v>
      </c>
      <c r="V15" s="306"/>
      <c r="W15" s="879">
        <v>5000</v>
      </c>
      <c r="X15" s="306">
        <v>1.3</v>
      </c>
    </row>
    <row r="16" spans="2:24" x14ac:dyDescent="0.25">
      <c r="B16" s="728">
        <f>B15+1</f>
        <v>1</v>
      </c>
      <c r="C16" s="735">
        <f>IF(B16&lt;$B$6,  $D$5,  IF(B16 &gt;= $C$7, $D$7,  H16*E16+F16))</f>
        <v>1</v>
      </c>
      <c r="E16" s="740">
        <f t="shared" ref="E16:E79" si="0">IF($B16&gt;=$B$7,$E$7,IF($B16&gt;=$B$6,$E$6,$E$5))</f>
        <v>0</v>
      </c>
      <c r="F16" s="740">
        <f t="shared" ref="F16:F79" si="1">IF($B16&gt;=$B$7,$F$7,IF($B16&gt;=$B$6,$F$6,$F$5))</f>
        <v>0</v>
      </c>
      <c r="G16" s="740">
        <f t="shared" ref="G16:G79" si="2">IF($B16&gt;=$B$7,$G$7,IF($B16&gt;=$B$6,$G$6,$G$5))</f>
        <v>0</v>
      </c>
      <c r="H16" s="740">
        <f t="shared" ref="H16:H58" si="3">B16-G16</f>
        <v>1</v>
      </c>
    </row>
    <row r="17" spans="2:21" x14ac:dyDescent="0.25">
      <c r="B17" s="728">
        <f>B16+1</f>
        <v>2</v>
      </c>
      <c r="C17" s="735">
        <f>IF(B17&lt;$B$6,  $D$5,  IF(B17 &gt;= $C$7, $D$7,  H17*E17+F17))</f>
        <v>1</v>
      </c>
      <c r="E17" s="740">
        <f t="shared" si="0"/>
        <v>0</v>
      </c>
      <c r="F17" s="740">
        <f t="shared" si="1"/>
        <v>0</v>
      </c>
      <c r="G17" s="740">
        <f t="shared" si="2"/>
        <v>0</v>
      </c>
      <c r="H17" s="740">
        <f t="shared" si="3"/>
        <v>2</v>
      </c>
    </row>
    <row r="18" spans="2:21" x14ac:dyDescent="0.25">
      <c r="B18" s="728">
        <f>B17+1</f>
        <v>3</v>
      </c>
      <c r="C18" s="735">
        <f>IF(B18&lt;$B$6,  $D$5,  IF(B18 &gt;= $C$7, $D$7,  H18*E18+F18))</f>
        <v>1</v>
      </c>
      <c r="E18" s="740">
        <f t="shared" si="0"/>
        <v>0</v>
      </c>
      <c r="F18" s="740">
        <f t="shared" si="1"/>
        <v>0</v>
      </c>
      <c r="G18" s="740">
        <f t="shared" si="2"/>
        <v>0</v>
      </c>
      <c r="H18" s="740">
        <f t="shared" si="3"/>
        <v>3</v>
      </c>
    </row>
    <row r="19" spans="2:21" ht="14.5" x14ac:dyDescent="0.35">
      <c r="B19" s="728">
        <f t="shared" ref="B19:B82" si="4">B18+1</f>
        <v>4</v>
      </c>
      <c r="C19" s="735">
        <f t="shared" ref="C19:C82" si="5">IF(B19&lt;$B$6,  $D$5,  IF(B19 &gt;= $C$7, $D$7,  H19*E19+F19))</f>
        <v>1</v>
      </c>
      <c r="E19" s="740">
        <f t="shared" si="0"/>
        <v>0</v>
      </c>
      <c r="F19" s="740">
        <f t="shared" si="1"/>
        <v>0</v>
      </c>
      <c r="G19" s="740">
        <f t="shared" si="2"/>
        <v>0</v>
      </c>
      <c r="H19" s="740">
        <f t="shared" si="3"/>
        <v>4</v>
      </c>
      <c r="T19" s="304" t="s">
        <v>19</v>
      </c>
      <c r="U19" s="248"/>
    </row>
    <row r="20" spans="2:21" ht="13" x14ac:dyDescent="0.25">
      <c r="B20" s="728">
        <f t="shared" si="4"/>
        <v>5</v>
      </c>
      <c r="C20" s="735">
        <f t="shared" si="5"/>
        <v>1</v>
      </c>
      <c r="E20" s="740">
        <f t="shared" si="0"/>
        <v>0</v>
      </c>
      <c r="F20" s="740">
        <f t="shared" si="1"/>
        <v>0</v>
      </c>
      <c r="G20" s="740">
        <f t="shared" si="2"/>
        <v>0</v>
      </c>
      <c r="H20" s="740">
        <f t="shared" si="3"/>
        <v>5</v>
      </c>
      <c r="T20" s="280" t="s">
        <v>20</v>
      </c>
      <c r="U20" s="272">
        <v>0</v>
      </c>
    </row>
    <row r="21" spans="2:21" ht="13" x14ac:dyDescent="0.25">
      <c r="B21" s="728">
        <f t="shared" si="4"/>
        <v>6</v>
      </c>
      <c r="C21" s="735">
        <f t="shared" si="5"/>
        <v>1</v>
      </c>
      <c r="E21" s="740">
        <f t="shared" si="0"/>
        <v>0</v>
      </c>
      <c r="F21" s="740">
        <f t="shared" si="1"/>
        <v>0</v>
      </c>
      <c r="G21" s="740">
        <f t="shared" si="2"/>
        <v>0</v>
      </c>
      <c r="H21" s="740">
        <f t="shared" si="3"/>
        <v>6</v>
      </c>
      <c r="T21" s="280" t="s">
        <v>21</v>
      </c>
      <c r="U21" s="272">
        <v>3</v>
      </c>
    </row>
    <row r="22" spans="2:21" ht="13" x14ac:dyDescent="0.25">
      <c r="B22" s="728">
        <f t="shared" si="4"/>
        <v>7</v>
      </c>
      <c r="C22" s="735">
        <f t="shared" si="5"/>
        <v>1</v>
      </c>
      <c r="E22" s="740">
        <f t="shared" si="0"/>
        <v>0</v>
      </c>
      <c r="F22" s="740">
        <f t="shared" si="1"/>
        <v>0</v>
      </c>
      <c r="G22" s="740">
        <f t="shared" si="2"/>
        <v>0</v>
      </c>
      <c r="H22" s="740">
        <f t="shared" si="3"/>
        <v>7</v>
      </c>
      <c r="T22" s="280" t="s">
        <v>390</v>
      </c>
      <c r="U22" s="272">
        <v>5</v>
      </c>
    </row>
    <row r="23" spans="2:21" x14ac:dyDescent="0.25">
      <c r="B23" s="728">
        <f t="shared" si="4"/>
        <v>8</v>
      </c>
      <c r="C23" s="735">
        <f t="shared" si="5"/>
        <v>1</v>
      </c>
      <c r="E23" s="740">
        <f t="shared" si="0"/>
        <v>0</v>
      </c>
      <c r="F23" s="740">
        <f t="shared" si="1"/>
        <v>0</v>
      </c>
      <c r="G23" s="740">
        <f t="shared" si="2"/>
        <v>0</v>
      </c>
      <c r="H23" s="740">
        <f t="shared" si="3"/>
        <v>8</v>
      </c>
    </row>
    <row r="24" spans="2:21" x14ac:dyDescent="0.25">
      <c r="B24" s="728">
        <f t="shared" si="4"/>
        <v>9</v>
      </c>
      <c r="C24" s="735">
        <f t="shared" si="5"/>
        <v>1</v>
      </c>
      <c r="E24" s="740">
        <f t="shared" si="0"/>
        <v>0</v>
      </c>
      <c r="F24" s="740">
        <f t="shared" si="1"/>
        <v>0</v>
      </c>
      <c r="G24" s="740">
        <f t="shared" si="2"/>
        <v>0</v>
      </c>
      <c r="H24" s="740">
        <f t="shared" si="3"/>
        <v>9</v>
      </c>
    </row>
    <row r="25" spans="2:21" x14ac:dyDescent="0.25">
      <c r="B25" s="728">
        <f t="shared" si="4"/>
        <v>10</v>
      </c>
      <c r="C25" s="735">
        <f t="shared" si="5"/>
        <v>1</v>
      </c>
      <c r="E25" s="740">
        <f t="shared" si="0"/>
        <v>0</v>
      </c>
      <c r="F25" s="740">
        <f t="shared" si="1"/>
        <v>0</v>
      </c>
      <c r="G25" s="740">
        <f t="shared" si="2"/>
        <v>0</v>
      </c>
      <c r="H25" s="740">
        <f t="shared" si="3"/>
        <v>10</v>
      </c>
    </row>
    <row r="26" spans="2:21" ht="14.5" x14ac:dyDescent="0.25">
      <c r="B26" s="728">
        <f t="shared" si="4"/>
        <v>11</v>
      </c>
      <c r="C26" s="735">
        <f t="shared" si="5"/>
        <v>1.0125</v>
      </c>
      <c r="E26" s="740">
        <f t="shared" si="0"/>
        <v>1.2500000000000001E-2</v>
      </c>
      <c r="F26" s="740">
        <f t="shared" si="1"/>
        <v>1</v>
      </c>
      <c r="G26" s="740">
        <f t="shared" si="2"/>
        <v>10</v>
      </c>
      <c r="H26" s="740">
        <f t="shared" si="3"/>
        <v>1</v>
      </c>
      <c r="T26" s="284" t="s">
        <v>23</v>
      </c>
      <c r="U26" s="285"/>
    </row>
    <row r="27" spans="2:21" ht="13" x14ac:dyDescent="0.25">
      <c r="B27" s="728">
        <f t="shared" si="4"/>
        <v>12</v>
      </c>
      <c r="C27" s="735">
        <f t="shared" si="5"/>
        <v>1.0249999999999999</v>
      </c>
      <c r="E27" s="740">
        <f t="shared" si="0"/>
        <v>1.2500000000000001E-2</v>
      </c>
      <c r="F27" s="740">
        <f t="shared" si="1"/>
        <v>1</v>
      </c>
      <c r="G27" s="740">
        <f t="shared" si="2"/>
        <v>10</v>
      </c>
      <c r="H27" s="740">
        <f t="shared" si="3"/>
        <v>2</v>
      </c>
      <c r="T27" s="283">
        <v>0</v>
      </c>
      <c r="U27" s="272">
        <v>0</v>
      </c>
    </row>
    <row r="28" spans="2:21" ht="13" x14ac:dyDescent="0.3">
      <c r="B28" s="728">
        <f t="shared" si="4"/>
        <v>13</v>
      </c>
      <c r="C28" s="735">
        <f t="shared" si="5"/>
        <v>1.0375000000000001</v>
      </c>
      <c r="E28" s="740">
        <f t="shared" si="0"/>
        <v>1.2500000000000001E-2</v>
      </c>
      <c r="F28" s="740">
        <f t="shared" si="1"/>
        <v>1</v>
      </c>
      <c r="G28" s="740">
        <f t="shared" si="2"/>
        <v>10</v>
      </c>
      <c r="H28" s="740">
        <f t="shared" si="3"/>
        <v>3</v>
      </c>
      <c r="T28" s="880">
        <v>1000</v>
      </c>
      <c r="U28" s="250">
        <v>4</v>
      </c>
    </row>
    <row r="29" spans="2:21" ht="13" x14ac:dyDescent="0.3">
      <c r="B29" s="728">
        <f t="shared" si="4"/>
        <v>14</v>
      </c>
      <c r="C29" s="735">
        <f t="shared" si="5"/>
        <v>1.05</v>
      </c>
      <c r="E29" s="740">
        <f t="shared" si="0"/>
        <v>1.2500000000000001E-2</v>
      </c>
      <c r="F29" s="740">
        <f t="shared" si="1"/>
        <v>1</v>
      </c>
      <c r="G29" s="740">
        <f t="shared" si="2"/>
        <v>10</v>
      </c>
      <c r="H29" s="740">
        <f t="shared" si="3"/>
        <v>4</v>
      </c>
      <c r="T29" s="880">
        <v>3000</v>
      </c>
      <c r="U29" s="250">
        <v>7</v>
      </c>
    </row>
    <row r="30" spans="2:21" ht="13" x14ac:dyDescent="0.25">
      <c r="B30" s="728">
        <f t="shared" si="4"/>
        <v>15</v>
      </c>
      <c r="C30" s="735">
        <f t="shared" si="5"/>
        <v>1.0625</v>
      </c>
      <c r="E30" s="740">
        <f t="shared" si="0"/>
        <v>1.2500000000000001E-2</v>
      </c>
      <c r="F30" s="740">
        <f t="shared" si="1"/>
        <v>1</v>
      </c>
      <c r="G30" s="740">
        <f t="shared" si="2"/>
        <v>10</v>
      </c>
      <c r="H30" s="740">
        <f t="shared" si="3"/>
        <v>5</v>
      </c>
      <c r="T30" s="881">
        <v>5000</v>
      </c>
      <c r="U30" s="272">
        <v>10</v>
      </c>
    </row>
    <row r="31" spans="2:21" x14ac:dyDescent="0.25">
      <c r="B31" s="728">
        <f t="shared" si="4"/>
        <v>16</v>
      </c>
      <c r="C31" s="735">
        <f t="shared" si="5"/>
        <v>1.075</v>
      </c>
      <c r="E31" s="740">
        <f t="shared" si="0"/>
        <v>1.2500000000000001E-2</v>
      </c>
      <c r="F31" s="740">
        <f t="shared" si="1"/>
        <v>1</v>
      </c>
      <c r="G31" s="740">
        <f t="shared" si="2"/>
        <v>10</v>
      </c>
      <c r="H31" s="740">
        <f t="shared" si="3"/>
        <v>6</v>
      </c>
    </row>
    <row r="32" spans="2:21" x14ac:dyDescent="0.25">
      <c r="B32" s="728">
        <f t="shared" si="4"/>
        <v>17</v>
      </c>
      <c r="C32" s="735">
        <f t="shared" si="5"/>
        <v>1.0874999999999999</v>
      </c>
      <c r="E32" s="740">
        <f t="shared" si="0"/>
        <v>1.2500000000000001E-2</v>
      </c>
      <c r="F32" s="740">
        <f t="shared" si="1"/>
        <v>1</v>
      </c>
      <c r="G32" s="740">
        <f t="shared" si="2"/>
        <v>10</v>
      </c>
      <c r="H32" s="740">
        <f t="shared" si="3"/>
        <v>7</v>
      </c>
    </row>
    <row r="33" spans="2:21" x14ac:dyDescent="0.25">
      <c r="B33" s="728">
        <f t="shared" si="4"/>
        <v>18</v>
      </c>
      <c r="C33" s="735">
        <f t="shared" si="5"/>
        <v>1.1000000000000001</v>
      </c>
      <c r="E33" s="740">
        <f t="shared" si="0"/>
        <v>1.2500000000000001E-2</v>
      </c>
      <c r="F33" s="740">
        <f t="shared" si="1"/>
        <v>1</v>
      </c>
      <c r="G33" s="740">
        <f t="shared" si="2"/>
        <v>10</v>
      </c>
      <c r="H33" s="740">
        <f t="shared" si="3"/>
        <v>8</v>
      </c>
    </row>
    <row r="34" spans="2:21" ht="14.5" x14ac:dyDescent="0.25">
      <c r="B34" s="728">
        <f t="shared" si="4"/>
        <v>19</v>
      </c>
      <c r="C34" s="735">
        <f t="shared" si="5"/>
        <v>1.1125</v>
      </c>
      <c r="E34" s="740">
        <f t="shared" si="0"/>
        <v>1.2500000000000001E-2</v>
      </c>
      <c r="F34" s="740">
        <f t="shared" si="1"/>
        <v>1</v>
      </c>
      <c r="G34" s="740">
        <f t="shared" si="2"/>
        <v>10</v>
      </c>
      <c r="H34" s="740">
        <f t="shared" si="3"/>
        <v>9</v>
      </c>
      <c r="T34" s="284" t="s">
        <v>24</v>
      </c>
      <c r="U34" s="285"/>
    </row>
    <row r="35" spans="2:21" ht="13" x14ac:dyDescent="0.3">
      <c r="B35" s="728">
        <f t="shared" si="4"/>
        <v>20</v>
      </c>
      <c r="C35" s="735">
        <f t="shared" si="5"/>
        <v>1.125</v>
      </c>
      <c r="E35" s="740">
        <f t="shared" si="0"/>
        <v>1.2500000000000001E-2</v>
      </c>
      <c r="F35" s="740">
        <f t="shared" si="1"/>
        <v>1</v>
      </c>
      <c r="G35" s="740">
        <f t="shared" si="2"/>
        <v>10</v>
      </c>
      <c r="H35" s="740">
        <f t="shared" si="3"/>
        <v>10</v>
      </c>
      <c r="T35" s="291">
        <v>2</v>
      </c>
      <c r="U35" s="250">
        <v>0</v>
      </c>
    </row>
    <row r="36" spans="2:21" ht="13" x14ac:dyDescent="0.3">
      <c r="B36" s="728">
        <f t="shared" si="4"/>
        <v>21</v>
      </c>
      <c r="C36" s="735">
        <f t="shared" si="5"/>
        <v>1.1375</v>
      </c>
      <c r="E36" s="740">
        <f t="shared" si="0"/>
        <v>1.2500000000000001E-2</v>
      </c>
      <c r="F36" s="740">
        <f t="shared" si="1"/>
        <v>1</v>
      </c>
      <c r="G36" s="740">
        <f t="shared" si="2"/>
        <v>10</v>
      </c>
      <c r="H36" s="740">
        <f t="shared" si="3"/>
        <v>11</v>
      </c>
      <c r="T36" s="291">
        <v>3</v>
      </c>
      <c r="U36" s="250">
        <v>4</v>
      </c>
    </row>
    <row r="37" spans="2:21" ht="13" x14ac:dyDescent="0.3">
      <c r="B37" s="728">
        <f t="shared" si="4"/>
        <v>22</v>
      </c>
      <c r="C37" s="735">
        <f t="shared" si="5"/>
        <v>1.1499999999999999</v>
      </c>
      <c r="E37" s="740">
        <f t="shared" si="0"/>
        <v>1.2500000000000001E-2</v>
      </c>
      <c r="F37" s="740">
        <f t="shared" si="1"/>
        <v>1</v>
      </c>
      <c r="G37" s="740">
        <f t="shared" si="2"/>
        <v>10</v>
      </c>
      <c r="H37" s="740">
        <f t="shared" si="3"/>
        <v>12</v>
      </c>
      <c r="T37" s="291">
        <v>5</v>
      </c>
      <c r="U37" s="250">
        <v>8</v>
      </c>
    </row>
    <row r="38" spans="2:21" x14ac:dyDescent="0.25">
      <c r="B38" s="728">
        <f t="shared" si="4"/>
        <v>23</v>
      </c>
      <c r="C38" s="735">
        <f t="shared" si="5"/>
        <v>1.1625000000000001</v>
      </c>
      <c r="E38" s="740">
        <f t="shared" si="0"/>
        <v>1.2500000000000001E-2</v>
      </c>
      <c r="F38" s="740">
        <f t="shared" si="1"/>
        <v>1</v>
      </c>
      <c r="G38" s="740">
        <f t="shared" si="2"/>
        <v>10</v>
      </c>
      <c r="H38" s="740">
        <f t="shared" si="3"/>
        <v>13</v>
      </c>
    </row>
    <row r="39" spans="2:21" x14ac:dyDescent="0.25">
      <c r="B39" s="728">
        <f t="shared" si="4"/>
        <v>24</v>
      </c>
      <c r="C39" s="735">
        <f t="shared" si="5"/>
        <v>1.175</v>
      </c>
      <c r="E39" s="740">
        <f t="shared" si="0"/>
        <v>1.2500000000000001E-2</v>
      </c>
      <c r="F39" s="740">
        <f t="shared" si="1"/>
        <v>1</v>
      </c>
      <c r="G39" s="740">
        <f t="shared" si="2"/>
        <v>10</v>
      </c>
      <c r="H39" s="740">
        <f t="shared" si="3"/>
        <v>14</v>
      </c>
    </row>
    <row r="40" spans="2:21" x14ac:dyDescent="0.25">
      <c r="B40" s="728">
        <f t="shared" si="4"/>
        <v>25</v>
      </c>
      <c r="C40" s="735">
        <f t="shared" si="5"/>
        <v>1.1875</v>
      </c>
      <c r="E40" s="740">
        <f t="shared" si="0"/>
        <v>1.2500000000000001E-2</v>
      </c>
      <c r="F40" s="740">
        <f t="shared" si="1"/>
        <v>1</v>
      </c>
      <c r="G40" s="740">
        <f t="shared" si="2"/>
        <v>10</v>
      </c>
      <c r="H40" s="740">
        <f t="shared" si="3"/>
        <v>15</v>
      </c>
    </row>
    <row r="41" spans="2:21" x14ac:dyDescent="0.25">
      <c r="B41" s="728">
        <f t="shared" si="4"/>
        <v>26</v>
      </c>
      <c r="C41" s="735">
        <f t="shared" si="5"/>
        <v>1.2</v>
      </c>
      <c r="E41" s="740">
        <f t="shared" si="0"/>
        <v>1.2500000000000001E-2</v>
      </c>
      <c r="F41" s="740">
        <f t="shared" si="1"/>
        <v>1</v>
      </c>
      <c r="G41" s="740">
        <f t="shared" si="2"/>
        <v>10</v>
      </c>
      <c r="H41" s="740">
        <f t="shared" si="3"/>
        <v>16</v>
      </c>
    </row>
    <row r="42" spans="2:21" x14ac:dyDescent="0.25">
      <c r="B42" s="728">
        <f t="shared" si="4"/>
        <v>27</v>
      </c>
      <c r="C42" s="735">
        <f t="shared" si="5"/>
        <v>1.2124999999999999</v>
      </c>
      <c r="E42" s="740">
        <f t="shared" si="0"/>
        <v>1.2500000000000001E-2</v>
      </c>
      <c r="F42" s="740">
        <f t="shared" si="1"/>
        <v>1</v>
      </c>
      <c r="G42" s="740">
        <f t="shared" si="2"/>
        <v>10</v>
      </c>
      <c r="H42" s="740">
        <f t="shared" si="3"/>
        <v>17</v>
      </c>
    </row>
    <row r="43" spans="2:21" x14ac:dyDescent="0.25">
      <c r="B43" s="728">
        <f t="shared" si="4"/>
        <v>28</v>
      </c>
      <c r="C43" s="735">
        <f t="shared" si="5"/>
        <v>1.2250000000000001</v>
      </c>
      <c r="E43" s="740">
        <f t="shared" si="0"/>
        <v>1.2500000000000001E-2</v>
      </c>
      <c r="F43" s="740">
        <f t="shared" si="1"/>
        <v>1</v>
      </c>
      <c r="G43" s="740">
        <f t="shared" si="2"/>
        <v>10</v>
      </c>
      <c r="H43" s="740">
        <f t="shared" si="3"/>
        <v>18</v>
      </c>
    </row>
    <row r="44" spans="2:21" x14ac:dyDescent="0.25">
      <c r="B44" s="728">
        <f t="shared" si="4"/>
        <v>29</v>
      </c>
      <c r="C44" s="735">
        <f t="shared" si="5"/>
        <v>1.2375</v>
      </c>
      <c r="E44" s="740">
        <f t="shared" si="0"/>
        <v>1.2500000000000001E-2</v>
      </c>
      <c r="F44" s="740">
        <f t="shared" si="1"/>
        <v>1</v>
      </c>
      <c r="G44" s="740">
        <f t="shared" si="2"/>
        <v>10</v>
      </c>
      <c r="H44" s="740">
        <f t="shared" si="3"/>
        <v>19</v>
      </c>
    </row>
    <row r="45" spans="2:21" x14ac:dyDescent="0.25">
      <c r="B45" s="728">
        <f t="shared" si="4"/>
        <v>30</v>
      </c>
      <c r="C45" s="735">
        <f t="shared" si="5"/>
        <v>1.25</v>
      </c>
      <c r="E45" s="740">
        <f t="shared" si="0"/>
        <v>1.2500000000000001E-2</v>
      </c>
      <c r="F45" s="740">
        <f t="shared" si="1"/>
        <v>1</v>
      </c>
      <c r="G45" s="740">
        <f t="shared" si="2"/>
        <v>10</v>
      </c>
      <c r="H45" s="740">
        <f t="shared" si="3"/>
        <v>20</v>
      </c>
    </row>
    <row r="46" spans="2:21" x14ac:dyDescent="0.25">
      <c r="B46" s="728">
        <f t="shared" si="4"/>
        <v>31</v>
      </c>
      <c r="C46" s="735">
        <f t="shared" si="5"/>
        <v>1.2625</v>
      </c>
      <c r="E46" s="740">
        <f t="shared" si="0"/>
        <v>1.2500000000000001E-2</v>
      </c>
      <c r="F46" s="740">
        <f t="shared" si="1"/>
        <v>1</v>
      </c>
      <c r="G46" s="740">
        <f t="shared" si="2"/>
        <v>10</v>
      </c>
      <c r="H46" s="740">
        <f t="shared" si="3"/>
        <v>21</v>
      </c>
    </row>
    <row r="47" spans="2:21" x14ac:dyDescent="0.25">
      <c r="B47" s="728">
        <f t="shared" si="4"/>
        <v>32</v>
      </c>
      <c r="C47" s="735">
        <f t="shared" si="5"/>
        <v>1.2749999999999999</v>
      </c>
      <c r="E47" s="740">
        <f t="shared" si="0"/>
        <v>1.2500000000000001E-2</v>
      </c>
      <c r="F47" s="740">
        <f t="shared" si="1"/>
        <v>1</v>
      </c>
      <c r="G47" s="740">
        <f t="shared" si="2"/>
        <v>10</v>
      </c>
      <c r="H47" s="740">
        <f t="shared" si="3"/>
        <v>22</v>
      </c>
    </row>
    <row r="48" spans="2:21" x14ac:dyDescent="0.25">
      <c r="B48" s="728">
        <f t="shared" si="4"/>
        <v>33</v>
      </c>
      <c r="C48" s="735">
        <f t="shared" si="5"/>
        <v>1.2875000000000001</v>
      </c>
      <c r="E48" s="740">
        <f t="shared" si="0"/>
        <v>1.2500000000000001E-2</v>
      </c>
      <c r="F48" s="740">
        <f t="shared" si="1"/>
        <v>1</v>
      </c>
      <c r="G48" s="740">
        <f t="shared" si="2"/>
        <v>10</v>
      </c>
      <c r="H48" s="740">
        <f t="shared" si="3"/>
        <v>23</v>
      </c>
    </row>
    <row r="49" spans="2:8" x14ac:dyDescent="0.25">
      <c r="B49" s="728">
        <f t="shared" si="4"/>
        <v>34</v>
      </c>
      <c r="C49" s="735">
        <f t="shared" si="5"/>
        <v>1.3</v>
      </c>
      <c r="E49" s="740">
        <f t="shared" si="0"/>
        <v>1.2500000000000001E-2</v>
      </c>
      <c r="F49" s="740">
        <f t="shared" si="1"/>
        <v>1</v>
      </c>
      <c r="G49" s="740">
        <f t="shared" si="2"/>
        <v>10</v>
      </c>
      <c r="H49" s="740">
        <f t="shared" si="3"/>
        <v>24</v>
      </c>
    </row>
    <row r="50" spans="2:8" x14ac:dyDescent="0.25">
      <c r="B50" s="728">
        <f t="shared" si="4"/>
        <v>35</v>
      </c>
      <c r="C50" s="735">
        <f t="shared" si="5"/>
        <v>1.3125</v>
      </c>
      <c r="E50" s="740">
        <f t="shared" si="0"/>
        <v>1.2500000000000001E-2</v>
      </c>
      <c r="F50" s="740">
        <f t="shared" si="1"/>
        <v>1</v>
      </c>
      <c r="G50" s="740">
        <f t="shared" si="2"/>
        <v>10</v>
      </c>
      <c r="H50" s="740">
        <f t="shared" si="3"/>
        <v>25</v>
      </c>
    </row>
    <row r="51" spans="2:8" x14ac:dyDescent="0.25">
      <c r="B51" s="728">
        <f t="shared" si="4"/>
        <v>36</v>
      </c>
      <c r="C51" s="735">
        <f t="shared" si="5"/>
        <v>1.325</v>
      </c>
      <c r="E51" s="740">
        <f t="shared" si="0"/>
        <v>1.2500000000000001E-2</v>
      </c>
      <c r="F51" s="740">
        <f t="shared" si="1"/>
        <v>1</v>
      </c>
      <c r="G51" s="740">
        <f t="shared" si="2"/>
        <v>10</v>
      </c>
      <c r="H51" s="740">
        <f t="shared" si="3"/>
        <v>26</v>
      </c>
    </row>
    <row r="52" spans="2:8" x14ac:dyDescent="0.25">
      <c r="B52" s="728">
        <f t="shared" si="4"/>
        <v>37</v>
      </c>
      <c r="C52" s="735">
        <f t="shared" si="5"/>
        <v>1.3374999999999999</v>
      </c>
      <c r="E52" s="740">
        <f t="shared" si="0"/>
        <v>1.2500000000000001E-2</v>
      </c>
      <c r="F52" s="740">
        <f t="shared" si="1"/>
        <v>1</v>
      </c>
      <c r="G52" s="740">
        <f t="shared" si="2"/>
        <v>10</v>
      </c>
      <c r="H52" s="740">
        <f t="shared" si="3"/>
        <v>27</v>
      </c>
    </row>
    <row r="53" spans="2:8" x14ac:dyDescent="0.25">
      <c r="B53" s="728">
        <f t="shared" si="4"/>
        <v>38</v>
      </c>
      <c r="C53" s="735">
        <f t="shared" si="5"/>
        <v>1.35</v>
      </c>
      <c r="E53" s="740">
        <f t="shared" si="0"/>
        <v>1.2500000000000001E-2</v>
      </c>
      <c r="F53" s="740">
        <f t="shared" si="1"/>
        <v>1</v>
      </c>
      <c r="G53" s="740">
        <f t="shared" si="2"/>
        <v>10</v>
      </c>
      <c r="H53" s="740">
        <f t="shared" si="3"/>
        <v>28</v>
      </c>
    </row>
    <row r="54" spans="2:8" x14ac:dyDescent="0.25">
      <c r="B54" s="728">
        <f t="shared" si="4"/>
        <v>39</v>
      </c>
      <c r="C54" s="735">
        <f t="shared" si="5"/>
        <v>1.3625</v>
      </c>
      <c r="E54" s="740">
        <f t="shared" si="0"/>
        <v>1.2500000000000001E-2</v>
      </c>
      <c r="F54" s="740">
        <f t="shared" si="1"/>
        <v>1</v>
      </c>
      <c r="G54" s="740">
        <f t="shared" si="2"/>
        <v>10</v>
      </c>
      <c r="H54" s="740">
        <f t="shared" si="3"/>
        <v>29</v>
      </c>
    </row>
    <row r="55" spans="2:8" x14ac:dyDescent="0.25">
      <c r="B55" s="728">
        <f t="shared" si="4"/>
        <v>40</v>
      </c>
      <c r="C55" s="735">
        <f t="shared" si="5"/>
        <v>1.375</v>
      </c>
      <c r="E55" s="740">
        <f t="shared" si="0"/>
        <v>1.2500000000000001E-2</v>
      </c>
      <c r="F55" s="740">
        <f t="shared" si="1"/>
        <v>1</v>
      </c>
      <c r="G55" s="740">
        <f t="shared" si="2"/>
        <v>10</v>
      </c>
      <c r="H55" s="740">
        <f t="shared" si="3"/>
        <v>30</v>
      </c>
    </row>
    <row r="56" spans="2:8" x14ac:dyDescent="0.25">
      <c r="B56" s="728">
        <f t="shared" si="4"/>
        <v>41</v>
      </c>
      <c r="C56" s="735">
        <f t="shared" si="5"/>
        <v>1.3875</v>
      </c>
      <c r="E56" s="740">
        <f t="shared" si="0"/>
        <v>1.2500000000000001E-2</v>
      </c>
      <c r="F56" s="740">
        <f t="shared" si="1"/>
        <v>1</v>
      </c>
      <c r="G56" s="740">
        <f t="shared" si="2"/>
        <v>10</v>
      </c>
      <c r="H56" s="740">
        <f t="shared" si="3"/>
        <v>31</v>
      </c>
    </row>
    <row r="57" spans="2:8" x14ac:dyDescent="0.25">
      <c r="B57" s="728">
        <f t="shared" si="4"/>
        <v>42</v>
      </c>
      <c r="C57" s="735">
        <f t="shared" si="5"/>
        <v>1.4</v>
      </c>
      <c r="E57" s="740">
        <f t="shared" si="0"/>
        <v>1.2500000000000001E-2</v>
      </c>
      <c r="F57" s="740">
        <f t="shared" si="1"/>
        <v>1</v>
      </c>
      <c r="G57" s="740">
        <f t="shared" si="2"/>
        <v>10</v>
      </c>
      <c r="H57" s="740">
        <f t="shared" si="3"/>
        <v>32</v>
      </c>
    </row>
    <row r="58" spans="2:8" x14ac:dyDescent="0.25">
      <c r="B58" s="728">
        <f t="shared" si="4"/>
        <v>43</v>
      </c>
      <c r="C58" s="735">
        <f t="shared" si="5"/>
        <v>1.4125000000000001</v>
      </c>
      <c r="E58" s="740">
        <f t="shared" si="0"/>
        <v>1.2500000000000001E-2</v>
      </c>
      <c r="F58" s="740">
        <f t="shared" si="1"/>
        <v>1</v>
      </c>
      <c r="G58" s="740">
        <f t="shared" si="2"/>
        <v>10</v>
      </c>
      <c r="H58" s="740">
        <f t="shared" si="3"/>
        <v>33</v>
      </c>
    </row>
    <row r="59" spans="2:8" x14ac:dyDescent="0.25">
      <c r="B59" s="728">
        <f t="shared" si="4"/>
        <v>44</v>
      </c>
      <c r="C59" s="735">
        <f t="shared" si="5"/>
        <v>1.425</v>
      </c>
      <c r="E59" s="740">
        <f t="shared" si="0"/>
        <v>1.2500000000000001E-2</v>
      </c>
      <c r="F59" s="740">
        <f t="shared" si="1"/>
        <v>1</v>
      </c>
      <c r="G59" s="740">
        <f t="shared" si="2"/>
        <v>10</v>
      </c>
      <c r="H59" s="740">
        <f t="shared" ref="H59:H68" si="6">B59-G59</f>
        <v>34</v>
      </c>
    </row>
    <row r="60" spans="2:8" x14ac:dyDescent="0.25">
      <c r="B60" s="728">
        <f t="shared" si="4"/>
        <v>45</v>
      </c>
      <c r="C60" s="735">
        <f t="shared" si="5"/>
        <v>1.4375</v>
      </c>
      <c r="E60" s="740">
        <f t="shared" si="0"/>
        <v>1.2500000000000001E-2</v>
      </c>
      <c r="F60" s="740">
        <f t="shared" si="1"/>
        <v>1</v>
      </c>
      <c r="G60" s="740">
        <f t="shared" si="2"/>
        <v>10</v>
      </c>
      <c r="H60" s="740">
        <f t="shared" si="6"/>
        <v>35</v>
      </c>
    </row>
    <row r="61" spans="2:8" x14ac:dyDescent="0.25">
      <c r="B61" s="728">
        <f t="shared" si="4"/>
        <v>46</v>
      </c>
      <c r="C61" s="735">
        <f t="shared" si="5"/>
        <v>1.45</v>
      </c>
      <c r="E61" s="740">
        <f t="shared" si="0"/>
        <v>1.2500000000000001E-2</v>
      </c>
      <c r="F61" s="740">
        <f t="shared" si="1"/>
        <v>1</v>
      </c>
      <c r="G61" s="740">
        <f t="shared" si="2"/>
        <v>10</v>
      </c>
      <c r="H61" s="740">
        <f t="shared" si="6"/>
        <v>36</v>
      </c>
    </row>
    <row r="62" spans="2:8" x14ac:dyDescent="0.25">
      <c r="B62" s="728">
        <f t="shared" si="4"/>
        <v>47</v>
      </c>
      <c r="C62" s="735">
        <f t="shared" si="5"/>
        <v>1.4624999999999999</v>
      </c>
      <c r="E62" s="740">
        <f t="shared" si="0"/>
        <v>1.2500000000000001E-2</v>
      </c>
      <c r="F62" s="740">
        <f t="shared" si="1"/>
        <v>1</v>
      </c>
      <c r="G62" s="740">
        <f t="shared" si="2"/>
        <v>10</v>
      </c>
      <c r="H62" s="740">
        <f t="shared" si="6"/>
        <v>37</v>
      </c>
    </row>
    <row r="63" spans="2:8" x14ac:dyDescent="0.25">
      <c r="B63" s="728">
        <f t="shared" si="4"/>
        <v>48</v>
      </c>
      <c r="C63" s="735">
        <f t="shared" si="5"/>
        <v>1.4750000000000001</v>
      </c>
      <c r="E63" s="740">
        <f t="shared" si="0"/>
        <v>1.2500000000000001E-2</v>
      </c>
      <c r="F63" s="740">
        <f t="shared" si="1"/>
        <v>1</v>
      </c>
      <c r="G63" s="740">
        <f t="shared" si="2"/>
        <v>10</v>
      </c>
      <c r="H63" s="740">
        <f t="shared" si="6"/>
        <v>38</v>
      </c>
    </row>
    <row r="64" spans="2:8" x14ac:dyDescent="0.25">
      <c r="B64" s="728">
        <f t="shared" si="4"/>
        <v>49</v>
      </c>
      <c r="C64" s="735">
        <f t="shared" si="5"/>
        <v>1.4875</v>
      </c>
      <c r="E64" s="740">
        <f t="shared" si="0"/>
        <v>1.2500000000000001E-2</v>
      </c>
      <c r="F64" s="740">
        <f t="shared" si="1"/>
        <v>1</v>
      </c>
      <c r="G64" s="740">
        <f t="shared" si="2"/>
        <v>10</v>
      </c>
      <c r="H64" s="740">
        <f t="shared" si="6"/>
        <v>39</v>
      </c>
    </row>
    <row r="65" spans="2:8" x14ac:dyDescent="0.25">
      <c r="B65" s="728">
        <f t="shared" si="4"/>
        <v>50</v>
      </c>
      <c r="C65" s="735">
        <f t="shared" si="5"/>
        <v>1.5</v>
      </c>
      <c r="E65" s="740">
        <f t="shared" si="0"/>
        <v>1.2500000000000001E-2</v>
      </c>
      <c r="F65" s="740">
        <f t="shared" si="1"/>
        <v>1</v>
      </c>
      <c r="G65" s="740">
        <f t="shared" si="2"/>
        <v>10</v>
      </c>
      <c r="H65" s="740">
        <f t="shared" si="6"/>
        <v>40</v>
      </c>
    </row>
    <row r="66" spans="2:8" x14ac:dyDescent="0.25">
      <c r="B66" s="728">
        <f t="shared" si="4"/>
        <v>51</v>
      </c>
      <c r="C66" s="735">
        <f t="shared" si="5"/>
        <v>1.5249999999999999</v>
      </c>
      <c r="E66" s="740">
        <f t="shared" si="0"/>
        <v>2.5000000000000001E-2</v>
      </c>
      <c r="F66" s="740">
        <f t="shared" si="1"/>
        <v>1.5</v>
      </c>
      <c r="G66" s="740">
        <f t="shared" si="2"/>
        <v>50</v>
      </c>
      <c r="H66" s="740">
        <f t="shared" si="6"/>
        <v>1</v>
      </c>
    </row>
    <row r="67" spans="2:8" x14ac:dyDescent="0.25">
      <c r="B67" s="728">
        <f t="shared" si="4"/>
        <v>52</v>
      </c>
      <c r="C67" s="735">
        <f t="shared" si="5"/>
        <v>1.55</v>
      </c>
      <c r="E67" s="740">
        <f t="shared" si="0"/>
        <v>2.5000000000000001E-2</v>
      </c>
      <c r="F67" s="740">
        <f t="shared" si="1"/>
        <v>1.5</v>
      </c>
      <c r="G67" s="740">
        <f t="shared" si="2"/>
        <v>50</v>
      </c>
      <c r="H67" s="740">
        <f t="shared" si="6"/>
        <v>2</v>
      </c>
    </row>
    <row r="68" spans="2:8" x14ac:dyDescent="0.25">
      <c r="B68" s="728">
        <f t="shared" si="4"/>
        <v>53</v>
      </c>
      <c r="C68" s="735">
        <f t="shared" si="5"/>
        <v>1.575</v>
      </c>
      <c r="E68" s="740">
        <f t="shared" si="0"/>
        <v>2.5000000000000001E-2</v>
      </c>
      <c r="F68" s="740">
        <f t="shared" si="1"/>
        <v>1.5</v>
      </c>
      <c r="G68" s="740">
        <f t="shared" si="2"/>
        <v>50</v>
      </c>
      <c r="H68" s="740">
        <f t="shared" si="6"/>
        <v>3</v>
      </c>
    </row>
    <row r="69" spans="2:8" x14ac:dyDescent="0.25">
      <c r="B69" s="728">
        <f t="shared" si="4"/>
        <v>54</v>
      </c>
      <c r="C69" s="735">
        <f t="shared" si="5"/>
        <v>1.6</v>
      </c>
      <c r="E69" s="740">
        <f t="shared" si="0"/>
        <v>2.5000000000000001E-2</v>
      </c>
      <c r="F69" s="740">
        <f t="shared" si="1"/>
        <v>1.5</v>
      </c>
      <c r="G69" s="740">
        <f t="shared" si="2"/>
        <v>50</v>
      </c>
      <c r="H69" s="740">
        <f t="shared" ref="H69:H83" si="7">B69-G69</f>
        <v>4</v>
      </c>
    </row>
    <row r="70" spans="2:8" x14ac:dyDescent="0.25">
      <c r="B70" s="728">
        <f t="shared" si="4"/>
        <v>55</v>
      </c>
      <c r="C70" s="735">
        <f t="shared" si="5"/>
        <v>1.625</v>
      </c>
      <c r="E70" s="740">
        <f t="shared" si="0"/>
        <v>2.5000000000000001E-2</v>
      </c>
      <c r="F70" s="740">
        <f t="shared" si="1"/>
        <v>1.5</v>
      </c>
      <c r="G70" s="740">
        <f t="shared" si="2"/>
        <v>50</v>
      </c>
      <c r="H70" s="740">
        <f t="shared" si="7"/>
        <v>5</v>
      </c>
    </row>
    <row r="71" spans="2:8" x14ac:dyDescent="0.25">
      <c r="B71" s="728">
        <f t="shared" si="4"/>
        <v>56</v>
      </c>
      <c r="C71" s="735">
        <f t="shared" si="5"/>
        <v>1.65</v>
      </c>
      <c r="E71" s="740">
        <f t="shared" si="0"/>
        <v>2.5000000000000001E-2</v>
      </c>
      <c r="F71" s="740">
        <f t="shared" si="1"/>
        <v>1.5</v>
      </c>
      <c r="G71" s="740">
        <f t="shared" si="2"/>
        <v>50</v>
      </c>
      <c r="H71" s="740">
        <f t="shared" si="7"/>
        <v>6</v>
      </c>
    </row>
    <row r="72" spans="2:8" x14ac:dyDescent="0.25">
      <c r="B72" s="728">
        <f t="shared" si="4"/>
        <v>57</v>
      </c>
      <c r="C72" s="735">
        <f t="shared" si="5"/>
        <v>1.675</v>
      </c>
      <c r="E72" s="740">
        <f t="shared" si="0"/>
        <v>2.5000000000000001E-2</v>
      </c>
      <c r="F72" s="740">
        <f t="shared" si="1"/>
        <v>1.5</v>
      </c>
      <c r="G72" s="740">
        <f t="shared" si="2"/>
        <v>50</v>
      </c>
      <c r="H72" s="740">
        <f t="shared" si="7"/>
        <v>7</v>
      </c>
    </row>
    <row r="73" spans="2:8" x14ac:dyDescent="0.25">
      <c r="B73" s="728">
        <f t="shared" si="4"/>
        <v>58</v>
      </c>
      <c r="C73" s="735">
        <f t="shared" si="5"/>
        <v>1.7</v>
      </c>
      <c r="E73" s="740">
        <f t="shared" si="0"/>
        <v>2.5000000000000001E-2</v>
      </c>
      <c r="F73" s="740">
        <f t="shared" si="1"/>
        <v>1.5</v>
      </c>
      <c r="G73" s="740">
        <f t="shared" si="2"/>
        <v>50</v>
      </c>
      <c r="H73" s="740">
        <f t="shared" si="7"/>
        <v>8</v>
      </c>
    </row>
    <row r="74" spans="2:8" x14ac:dyDescent="0.25">
      <c r="B74" s="728">
        <f t="shared" si="4"/>
        <v>59</v>
      </c>
      <c r="C74" s="735">
        <f t="shared" si="5"/>
        <v>1.7250000000000001</v>
      </c>
      <c r="E74" s="740">
        <f t="shared" si="0"/>
        <v>2.5000000000000001E-2</v>
      </c>
      <c r="F74" s="740">
        <f t="shared" si="1"/>
        <v>1.5</v>
      </c>
      <c r="G74" s="740">
        <f t="shared" si="2"/>
        <v>50</v>
      </c>
      <c r="H74" s="740">
        <f t="shared" si="7"/>
        <v>9</v>
      </c>
    </row>
    <row r="75" spans="2:8" x14ac:dyDescent="0.25">
      <c r="B75" s="728">
        <f t="shared" si="4"/>
        <v>60</v>
      </c>
      <c r="C75" s="735">
        <f t="shared" si="5"/>
        <v>1.75</v>
      </c>
      <c r="E75" s="740">
        <f t="shared" si="0"/>
        <v>2.5000000000000001E-2</v>
      </c>
      <c r="F75" s="740">
        <f t="shared" si="1"/>
        <v>1.5</v>
      </c>
      <c r="G75" s="740">
        <f t="shared" si="2"/>
        <v>50</v>
      </c>
      <c r="H75" s="740">
        <f t="shared" si="7"/>
        <v>10</v>
      </c>
    </row>
    <row r="76" spans="2:8" x14ac:dyDescent="0.25">
      <c r="B76" s="728">
        <f t="shared" si="4"/>
        <v>61</v>
      </c>
      <c r="C76" s="735">
        <f t="shared" si="5"/>
        <v>1.7749999999999999</v>
      </c>
      <c r="E76" s="740">
        <f t="shared" si="0"/>
        <v>2.5000000000000001E-2</v>
      </c>
      <c r="F76" s="740">
        <f t="shared" si="1"/>
        <v>1.5</v>
      </c>
      <c r="G76" s="740">
        <f t="shared" si="2"/>
        <v>50</v>
      </c>
      <c r="H76" s="740">
        <f t="shared" si="7"/>
        <v>11</v>
      </c>
    </row>
    <row r="77" spans="2:8" x14ac:dyDescent="0.25">
      <c r="B77" s="728">
        <f t="shared" si="4"/>
        <v>62</v>
      </c>
      <c r="C77" s="735">
        <f t="shared" si="5"/>
        <v>1.8</v>
      </c>
      <c r="E77" s="740">
        <f t="shared" si="0"/>
        <v>2.5000000000000001E-2</v>
      </c>
      <c r="F77" s="740">
        <f t="shared" si="1"/>
        <v>1.5</v>
      </c>
      <c r="G77" s="740">
        <f t="shared" si="2"/>
        <v>50</v>
      </c>
      <c r="H77" s="740">
        <f t="shared" si="7"/>
        <v>12</v>
      </c>
    </row>
    <row r="78" spans="2:8" x14ac:dyDescent="0.25">
      <c r="B78" s="728">
        <f t="shared" si="4"/>
        <v>63</v>
      </c>
      <c r="C78" s="735">
        <f t="shared" si="5"/>
        <v>1.825</v>
      </c>
      <c r="E78" s="740">
        <f t="shared" si="0"/>
        <v>2.5000000000000001E-2</v>
      </c>
      <c r="F78" s="740">
        <f t="shared" si="1"/>
        <v>1.5</v>
      </c>
      <c r="G78" s="740">
        <f t="shared" si="2"/>
        <v>50</v>
      </c>
      <c r="H78" s="740">
        <f t="shared" si="7"/>
        <v>13</v>
      </c>
    </row>
    <row r="79" spans="2:8" x14ac:dyDescent="0.25">
      <c r="B79" s="728">
        <f t="shared" si="4"/>
        <v>64</v>
      </c>
      <c r="C79" s="735">
        <f t="shared" si="5"/>
        <v>1.85</v>
      </c>
      <c r="E79" s="740">
        <f t="shared" si="0"/>
        <v>2.5000000000000001E-2</v>
      </c>
      <c r="F79" s="740">
        <f t="shared" si="1"/>
        <v>1.5</v>
      </c>
      <c r="G79" s="740">
        <f t="shared" si="2"/>
        <v>50</v>
      </c>
      <c r="H79" s="740">
        <f t="shared" si="7"/>
        <v>14</v>
      </c>
    </row>
    <row r="80" spans="2:8" x14ac:dyDescent="0.25">
      <c r="B80" s="728">
        <f t="shared" si="4"/>
        <v>65</v>
      </c>
      <c r="C80" s="735">
        <f t="shared" si="5"/>
        <v>1.875</v>
      </c>
      <c r="E80" s="740">
        <f t="shared" ref="E80:E100" si="8">IF($B80&gt;=$B$7,$E$7,IF($B80&gt;=$B$6,$E$6,$E$5))</f>
        <v>2.5000000000000001E-2</v>
      </c>
      <c r="F80" s="740">
        <f t="shared" ref="F80:F100" si="9">IF($B80&gt;=$B$7,$F$7,IF($B80&gt;=$B$6,$F$6,$F$5))</f>
        <v>1.5</v>
      </c>
      <c r="G80" s="740">
        <f t="shared" ref="G80:G100" si="10">IF($B80&gt;=$B$7,$G$7,IF($B80&gt;=$B$6,$G$6,$G$5))</f>
        <v>50</v>
      </c>
      <c r="H80" s="740">
        <f t="shared" si="7"/>
        <v>15</v>
      </c>
    </row>
    <row r="81" spans="2:8" x14ac:dyDescent="0.25">
      <c r="B81" s="728">
        <f t="shared" si="4"/>
        <v>66</v>
      </c>
      <c r="C81" s="735">
        <f t="shared" si="5"/>
        <v>1.9</v>
      </c>
      <c r="E81" s="740">
        <f t="shared" si="8"/>
        <v>2.5000000000000001E-2</v>
      </c>
      <c r="F81" s="740">
        <f t="shared" si="9"/>
        <v>1.5</v>
      </c>
      <c r="G81" s="740">
        <f t="shared" si="10"/>
        <v>50</v>
      </c>
      <c r="H81" s="740">
        <f t="shared" si="7"/>
        <v>16</v>
      </c>
    </row>
    <row r="82" spans="2:8" x14ac:dyDescent="0.25">
      <c r="B82" s="728">
        <f t="shared" si="4"/>
        <v>67</v>
      </c>
      <c r="C82" s="735">
        <f t="shared" si="5"/>
        <v>1.925</v>
      </c>
      <c r="E82" s="740">
        <f t="shared" si="8"/>
        <v>2.5000000000000001E-2</v>
      </c>
      <c r="F82" s="740">
        <f t="shared" si="9"/>
        <v>1.5</v>
      </c>
      <c r="G82" s="740">
        <f t="shared" si="10"/>
        <v>50</v>
      </c>
      <c r="H82" s="740">
        <f t="shared" si="7"/>
        <v>17</v>
      </c>
    </row>
    <row r="83" spans="2:8" x14ac:dyDescent="0.25">
      <c r="B83" s="728">
        <f t="shared" ref="B83:B100" si="11">B82+1</f>
        <v>68</v>
      </c>
      <c r="C83" s="735">
        <f t="shared" ref="C83:C100" si="12">IF(B83&lt;$B$6,  $D$5,  IF(B83 &gt;= $C$7, $D$7,  H83*E83+F83))</f>
        <v>1.95</v>
      </c>
      <c r="E83" s="740">
        <f t="shared" si="8"/>
        <v>2.5000000000000001E-2</v>
      </c>
      <c r="F83" s="740">
        <f t="shared" si="9"/>
        <v>1.5</v>
      </c>
      <c r="G83" s="740">
        <f t="shared" si="10"/>
        <v>50</v>
      </c>
      <c r="H83" s="740">
        <f t="shared" si="7"/>
        <v>18</v>
      </c>
    </row>
    <row r="84" spans="2:8" x14ac:dyDescent="0.25">
      <c r="B84" s="728">
        <f t="shared" si="11"/>
        <v>69</v>
      </c>
      <c r="C84" s="735">
        <f t="shared" si="12"/>
        <v>1.9750000000000001</v>
      </c>
      <c r="E84" s="740">
        <f t="shared" si="8"/>
        <v>2.5000000000000001E-2</v>
      </c>
      <c r="F84" s="740">
        <f t="shared" si="9"/>
        <v>1.5</v>
      </c>
      <c r="G84" s="740">
        <f t="shared" si="10"/>
        <v>50</v>
      </c>
      <c r="H84" s="740">
        <f t="shared" ref="H84:H100" si="13">B84-G84</f>
        <v>19</v>
      </c>
    </row>
    <row r="85" spans="2:8" x14ac:dyDescent="0.25">
      <c r="B85" s="728">
        <f t="shared" si="11"/>
        <v>70</v>
      </c>
      <c r="C85" s="735">
        <f t="shared" si="12"/>
        <v>2</v>
      </c>
      <c r="E85" s="740">
        <f t="shared" si="8"/>
        <v>2.5000000000000001E-2</v>
      </c>
      <c r="F85" s="740">
        <f t="shared" si="9"/>
        <v>1.5</v>
      </c>
      <c r="G85" s="740">
        <f t="shared" si="10"/>
        <v>50</v>
      </c>
      <c r="H85" s="740">
        <f t="shared" si="13"/>
        <v>20</v>
      </c>
    </row>
    <row r="86" spans="2:8" x14ac:dyDescent="0.25">
      <c r="B86" s="728">
        <f t="shared" si="11"/>
        <v>71</v>
      </c>
      <c r="C86" s="735">
        <f t="shared" si="12"/>
        <v>2</v>
      </c>
      <c r="E86" s="740">
        <f t="shared" si="8"/>
        <v>2.5000000000000001E-2</v>
      </c>
      <c r="F86" s="740">
        <f t="shared" si="9"/>
        <v>1.5</v>
      </c>
      <c r="G86" s="740">
        <f t="shared" si="10"/>
        <v>50</v>
      </c>
      <c r="H86" s="740">
        <f t="shared" si="13"/>
        <v>21</v>
      </c>
    </row>
    <row r="87" spans="2:8" x14ac:dyDescent="0.25">
      <c r="B87" s="728">
        <f t="shared" si="11"/>
        <v>72</v>
      </c>
      <c r="C87" s="735">
        <f t="shared" si="12"/>
        <v>2</v>
      </c>
      <c r="E87" s="740">
        <f t="shared" si="8"/>
        <v>2.5000000000000001E-2</v>
      </c>
      <c r="F87" s="740">
        <f t="shared" si="9"/>
        <v>1.5</v>
      </c>
      <c r="G87" s="740">
        <f t="shared" si="10"/>
        <v>50</v>
      </c>
      <c r="H87" s="740">
        <f t="shared" si="13"/>
        <v>22</v>
      </c>
    </row>
    <row r="88" spans="2:8" x14ac:dyDescent="0.25">
      <c r="B88" s="728">
        <f t="shared" si="11"/>
        <v>73</v>
      </c>
      <c r="C88" s="735">
        <f t="shared" si="12"/>
        <v>2</v>
      </c>
      <c r="E88" s="740">
        <f t="shared" si="8"/>
        <v>2.5000000000000001E-2</v>
      </c>
      <c r="F88" s="740">
        <f t="shared" si="9"/>
        <v>1.5</v>
      </c>
      <c r="G88" s="740">
        <f t="shared" si="10"/>
        <v>50</v>
      </c>
      <c r="H88" s="740">
        <f t="shared" si="13"/>
        <v>23</v>
      </c>
    </row>
    <row r="89" spans="2:8" x14ac:dyDescent="0.25">
      <c r="B89" s="728">
        <f t="shared" si="11"/>
        <v>74</v>
      </c>
      <c r="C89" s="735">
        <f t="shared" si="12"/>
        <v>2</v>
      </c>
      <c r="E89" s="740">
        <f t="shared" si="8"/>
        <v>2.5000000000000001E-2</v>
      </c>
      <c r="F89" s="740">
        <f t="shared" si="9"/>
        <v>1.5</v>
      </c>
      <c r="G89" s="740">
        <f t="shared" si="10"/>
        <v>50</v>
      </c>
      <c r="H89" s="740">
        <f t="shared" si="13"/>
        <v>24</v>
      </c>
    </row>
    <row r="90" spans="2:8" x14ac:dyDescent="0.25">
      <c r="B90" s="728">
        <f t="shared" si="11"/>
        <v>75</v>
      </c>
      <c r="C90" s="735">
        <f t="shared" si="12"/>
        <v>2</v>
      </c>
      <c r="E90" s="740">
        <f t="shared" si="8"/>
        <v>2.5000000000000001E-2</v>
      </c>
      <c r="F90" s="740">
        <f t="shared" si="9"/>
        <v>1.5</v>
      </c>
      <c r="G90" s="740">
        <f t="shared" si="10"/>
        <v>50</v>
      </c>
      <c r="H90" s="740">
        <f t="shared" si="13"/>
        <v>25</v>
      </c>
    </row>
    <row r="91" spans="2:8" x14ac:dyDescent="0.25">
      <c r="B91" s="728">
        <f t="shared" si="11"/>
        <v>76</v>
      </c>
      <c r="C91" s="735">
        <f t="shared" si="12"/>
        <v>2</v>
      </c>
      <c r="E91" s="740">
        <f t="shared" si="8"/>
        <v>2.5000000000000001E-2</v>
      </c>
      <c r="F91" s="740">
        <f t="shared" si="9"/>
        <v>1.5</v>
      </c>
      <c r="G91" s="740">
        <f t="shared" si="10"/>
        <v>50</v>
      </c>
      <c r="H91" s="740">
        <f t="shared" si="13"/>
        <v>26</v>
      </c>
    </row>
    <row r="92" spans="2:8" x14ac:dyDescent="0.25">
      <c r="B92" s="728">
        <f t="shared" si="11"/>
        <v>77</v>
      </c>
      <c r="C92" s="735">
        <f t="shared" si="12"/>
        <v>2</v>
      </c>
      <c r="E92" s="740">
        <f t="shared" si="8"/>
        <v>2.5000000000000001E-2</v>
      </c>
      <c r="F92" s="740">
        <f t="shared" si="9"/>
        <v>1.5</v>
      </c>
      <c r="G92" s="740">
        <f t="shared" si="10"/>
        <v>50</v>
      </c>
      <c r="H92" s="740">
        <f t="shared" si="13"/>
        <v>27</v>
      </c>
    </row>
    <row r="93" spans="2:8" x14ac:dyDescent="0.25">
      <c r="B93" s="728">
        <f t="shared" si="11"/>
        <v>78</v>
      </c>
      <c r="C93" s="735">
        <f t="shared" si="12"/>
        <v>2</v>
      </c>
      <c r="E93" s="740">
        <f t="shared" si="8"/>
        <v>2.5000000000000001E-2</v>
      </c>
      <c r="F93" s="740">
        <f t="shared" si="9"/>
        <v>1.5</v>
      </c>
      <c r="G93" s="740">
        <f t="shared" si="10"/>
        <v>50</v>
      </c>
      <c r="H93" s="740">
        <f t="shared" si="13"/>
        <v>28</v>
      </c>
    </row>
    <row r="94" spans="2:8" x14ac:dyDescent="0.25">
      <c r="B94" s="728">
        <f t="shared" si="11"/>
        <v>79</v>
      </c>
      <c r="C94" s="735">
        <f t="shared" si="12"/>
        <v>2</v>
      </c>
      <c r="E94" s="740">
        <f t="shared" si="8"/>
        <v>2.5000000000000001E-2</v>
      </c>
      <c r="F94" s="740">
        <f t="shared" si="9"/>
        <v>1.5</v>
      </c>
      <c r="G94" s="740">
        <f t="shared" si="10"/>
        <v>50</v>
      </c>
      <c r="H94" s="740">
        <f t="shared" si="13"/>
        <v>29</v>
      </c>
    </row>
    <row r="95" spans="2:8" x14ac:dyDescent="0.25">
      <c r="B95" s="728">
        <f t="shared" si="11"/>
        <v>80</v>
      </c>
      <c r="C95" s="735">
        <f t="shared" si="12"/>
        <v>2</v>
      </c>
      <c r="E95" s="740">
        <f t="shared" si="8"/>
        <v>2.5000000000000001E-2</v>
      </c>
      <c r="F95" s="740">
        <f t="shared" si="9"/>
        <v>1.5</v>
      </c>
      <c r="G95" s="740">
        <f t="shared" si="10"/>
        <v>50</v>
      </c>
      <c r="H95" s="740">
        <f t="shared" si="13"/>
        <v>30</v>
      </c>
    </row>
    <row r="96" spans="2:8" x14ac:dyDescent="0.25">
      <c r="B96" s="728">
        <f t="shared" si="11"/>
        <v>81</v>
      </c>
      <c r="C96" s="735">
        <f t="shared" si="12"/>
        <v>2</v>
      </c>
      <c r="E96" s="740">
        <f t="shared" si="8"/>
        <v>2.5000000000000001E-2</v>
      </c>
      <c r="F96" s="740">
        <f t="shared" si="9"/>
        <v>1.5</v>
      </c>
      <c r="G96" s="740">
        <f t="shared" si="10"/>
        <v>50</v>
      </c>
      <c r="H96" s="740">
        <f t="shared" si="13"/>
        <v>31</v>
      </c>
    </row>
    <row r="97" spans="2:8" x14ac:dyDescent="0.25">
      <c r="B97" s="728">
        <f t="shared" si="11"/>
        <v>82</v>
      </c>
      <c r="C97" s="735">
        <f t="shared" si="12"/>
        <v>2</v>
      </c>
      <c r="E97" s="740">
        <f t="shared" si="8"/>
        <v>2.5000000000000001E-2</v>
      </c>
      <c r="F97" s="740">
        <f t="shared" si="9"/>
        <v>1.5</v>
      </c>
      <c r="G97" s="740">
        <f t="shared" si="10"/>
        <v>50</v>
      </c>
      <c r="H97" s="740">
        <f t="shared" si="13"/>
        <v>32</v>
      </c>
    </row>
    <row r="98" spans="2:8" x14ac:dyDescent="0.25">
      <c r="B98" s="728">
        <f t="shared" si="11"/>
        <v>83</v>
      </c>
      <c r="C98" s="735">
        <f t="shared" si="12"/>
        <v>2</v>
      </c>
      <c r="E98" s="740">
        <f t="shared" si="8"/>
        <v>2.5000000000000001E-2</v>
      </c>
      <c r="F98" s="740">
        <f t="shared" si="9"/>
        <v>1.5</v>
      </c>
      <c r="G98" s="740">
        <f t="shared" si="10"/>
        <v>50</v>
      </c>
      <c r="H98" s="740">
        <f t="shared" si="13"/>
        <v>33</v>
      </c>
    </row>
    <row r="99" spans="2:8" x14ac:dyDescent="0.25">
      <c r="B99" s="728">
        <f t="shared" si="11"/>
        <v>84</v>
      </c>
      <c r="C99" s="735">
        <f t="shared" si="12"/>
        <v>2</v>
      </c>
      <c r="E99" s="740">
        <f t="shared" si="8"/>
        <v>2.5000000000000001E-2</v>
      </c>
      <c r="F99" s="740">
        <f t="shared" si="9"/>
        <v>1.5</v>
      </c>
      <c r="G99" s="740">
        <f t="shared" si="10"/>
        <v>50</v>
      </c>
      <c r="H99" s="740">
        <f t="shared" si="13"/>
        <v>34</v>
      </c>
    </row>
    <row r="100" spans="2:8" x14ac:dyDescent="0.25">
      <c r="B100" s="728">
        <f t="shared" si="11"/>
        <v>85</v>
      </c>
      <c r="C100" s="735">
        <f t="shared" si="12"/>
        <v>2</v>
      </c>
      <c r="E100" s="740">
        <f t="shared" si="8"/>
        <v>2.5000000000000001E-2</v>
      </c>
      <c r="F100" s="740">
        <f t="shared" si="9"/>
        <v>1.5</v>
      </c>
      <c r="G100" s="740">
        <f t="shared" si="10"/>
        <v>50</v>
      </c>
      <c r="H100" s="740">
        <f t="shared" si="13"/>
        <v>35</v>
      </c>
    </row>
  </sheetData>
  <sheetProtection algorithmName="SHA-512" hashValue="Qz7lqLBAenLQrvsSOuyylW20Fypkl91zZtIHCsCzRuyu32exPXzEpKqVUPg6/M6r4Qe96CgjcakGC3GOvTvRrw==" saltValue="ywIHfuIkmAF5rPDl4+bweQ=="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E3426-FEC9-4978-8A6F-67573CE6B766}">
  <sheetPr codeName="Sheet15">
    <tabColor rgb="FF0070C0"/>
    <pageSetUpPr fitToPage="1"/>
  </sheetPr>
  <dimension ref="A1:CT374"/>
  <sheetViews>
    <sheetView showGridLines="0" zoomScale="90" zoomScaleNormal="90" workbookViewId="0">
      <pane xSplit="7" ySplit="12" topLeftCell="H13" activePane="bottomRight" state="frozenSplit"/>
      <selection pane="topRight" activeCell="AI1" sqref="AI1"/>
      <selection pane="bottomLeft" activeCell="A22" sqref="A22"/>
      <selection pane="bottomRight" activeCell="I30" sqref="I30"/>
    </sheetView>
  </sheetViews>
  <sheetFormatPr defaultColWidth="8.7265625" defaultRowHeight="15.5" x14ac:dyDescent="0.35"/>
  <cols>
    <col min="1" max="1" width="3.6328125" style="245" customWidth="1"/>
    <col min="2" max="2" width="3.54296875" style="369" customWidth="1"/>
    <col min="3" max="3" width="15.6328125" style="245" customWidth="1"/>
    <col min="4" max="4" width="16.81640625" style="245" hidden="1" customWidth="1"/>
    <col min="5" max="8" width="13.54296875" style="245" customWidth="1"/>
    <col min="9" max="9" width="11.36328125" style="245" customWidth="1"/>
    <col min="10" max="10" width="10.6328125" style="245" customWidth="1"/>
    <col min="11" max="11" width="9.1796875" style="245" hidden="1" customWidth="1"/>
    <col min="12" max="12" width="8.54296875" style="245" hidden="1" customWidth="1"/>
    <col min="13" max="13" width="10.54296875" style="370" customWidth="1"/>
    <col min="14" max="14" width="1.26953125" style="245" customWidth="1"/>
    <col min="15" max="15" width="11" style="245" hidden="1" customWidth="1"/>
    <col min="16" max="16" width="6.453125" style="370" hidden="1" customWidth="1"/>
    <col min="17" max="18" width="8.54296875" style="370" customWidth="1"/>
    <col min="19" max="19" width="9.1796875" style="245" hidden="1" customWidth="1"/>
    <col min="20" max="20" width="7.7265625" style="370" hidden="1" customWidth="1"/>
    <col min="21" max="21" width="8.54296875" style="370" customWidth="1"/>
    <col min="22" max="22" width="1.26953125" style="245" customWidth="1"/>
    <col min="23" max="24" width="8.54296875" style="370" customWidth="1"/>
    <col min="25" max="25" width="8.54296875" style="384" customWidth="1"/>
    <col min="26" max="26" width="1.26953125" style="375" customWidth="1"/>
    <col min="27" max="29" width="8.54296875" style="245" customWidth="1"/>
    <col min="30" max="30" width="11.81640625" style="385" customWidth="1"/>
    <col min="31" max="31" width="1.26953125" style="385" customWidth="1"/>
    <col min="32" max="32" width="13.6328125" style="245" customWidth="1"/>
    <col min="33" max="33" width="8.54296875" style="245" customWidth="1"/>
    <col min="34" max="34" width="13.90625" style="245" customWidth="1"/>
    <col min="35" max="35" width="8.54296875" style="385" customWidth="1"/>
    <col min="36" max="36" width="1.26953125" style="385" customWidth="1"/>
    <col min="37" max="37" width="8.54296875" style="245" customWidth="1"/>
    <col min="38" max="38" width="6.7265625" style="245" hidden="1" customWidth="1"/>
    <col min="39" max="39" width="8.54296875" style="385" customWidth="1"/>
    <col min="40" max="40" width="1.26953125" style="245" customWidth="1"/>
    <col min="41" max="42" width="5.54296875" style="373" customWidth="1"/>
    <col min="43" max="43" width="5.54296875" style="369" customWidth="1"/>
    <col min="44" max="44" width="12.54296875" style="369" customWidth="1"/>
    <col min="45" max="45" width="2.453125" style="245" customWidth="1"/>
    <col min="46" max="16384" width="8.7265625" style="245"/>
  </cols>
  <sheetData>
    <row r="1" spans="1:98" ht="16" thickBot="1" x14ac:dyDescent="0.4">
      <c r="B1" s="365"/>
      <c r="C1" s="366"/>
      <c r="D1" s="366"/>
      <c r="E1" s="366"/>
      <c r="F1" s="366"/>
      <c r="G1" s="366"/>
      <c r="H1" s="366"/>
      <c r="I1" s="366"/>
      <c r="J1" s="366"/>
      <c r="K1" s="366"/>
      <c r="L1" s="366"/>
      <c r="M1" s="367"/>
      <c r="N1" s="366"/>
      <c r="O1" s="366"/>
      <c r="P1" s="367"/>
      <c r="Q1" s="367"/>
      <c r="R1" s="367"/>
      <c r="S1" s="366"/>
      <c r="T1" s="367"/>
      <c r="U1" s="367"/>
      <c r="V1" s="366"/>
      <c r="W1" s="367"/>
      <c r="X1" s="367"/>
      <c r="Y1" s="367"/>
      <c r="Z1" s="366"/>
      <c r="AA1" s="366"/>
      <c r="AB1" s="366"/>
      <c r="AC1" s="366"/>
      <c r="AD1" s="366"/>
      <c r="AE1" s="366"/>
      <c r="AF1" s="366"/>
      <c r="AG1" s="366"/>
      <c r="AH1" s="366"/>
      <c r="AI1" s="366"/>
      <c r="AJ1" s="366"/>
      <c r="AK1" s="366"/>
      <c r="AL1" s="366"/>
      <c r="AM1" s="366"/>
      <c r="AN1" s="366"/>
      <c r="AO1" s="368"/>
      <c r="AP1" s="368"/>
      <c r="AQ1" s="365"/>
      <c r="AR1" s="365"/>
    </row>
    <row r="2" spans="1:98" ht="16" thickTop="1" x14ac:dyDescent="0.35">
      <c r="Y2" s="371"/>
      <c r="Z2" s="372"/>
      <c r="AD2" s="372"/>
      <c r="AE2" s="372"/>
      <c r="AI2" s="372"/>
      <c r="AJ2" s="372"/>
      <c r="AM2" s="372"/>
    </row>
    <row r="3" spans="1:98" ht="23.5" x14ac:dyDescent="0.35">
      <c r="N3" s="159" t="s">
        <v>11</v>
      </c>
      <c r="Y3" s="371"/>
      <c r="Z3" s="372"/>
      <c r="AD3" s="372"/>
      <c r="AE3" s="372"/>
      <c r="AI3" s="372"/>
      <c r="AJ3" s="372"/>
      <c r="AM3" s="372"/>
    </row>
    <row r="4" spans="1:98" ht="23.5" x14ac:dyDescent="0.35">
      <c r="B4" s="369" t="s">
        <v>61</v>
      </c>
      <c r="Q4" s="215"/>
      <c r="R4" s="215" t="s">
        <v>272</v>
      </c>
      <c r="S4" s="215"/>
      <c r="T4" s="374"/>
      <c r="U4" s="215"/>
      <c r="V4" s="215"/>
      <c r="Y4" s="371"/>
      <c r="Z4" s="372"/>
      <c r="AD4" s="372"/>
      <c r="AE4" s="372"/>
      <c r="AI4" s="372"/>
      <c r="AJ4" s="372"/>
      <c r="AM4" s="372"/>
    </row>
    <row r="5" spans="1:98" ht="16" thickBot="1" x14ac:dyDescent="0.4">
      <c r="B5" s="365"/>
      <c r="C5" s="366"/>
      <c r="D5" s="366"/>
      <c r="E5" s="366"/>
      <c r="F5" s="366"/>
      <c r="G5" s="366"/>
      <c r="H5" s="366"/>
      <c r="I5" s="366"/>
      <c r="J5" s="366"/>
      <c r="K5" s="366"/>
      <c r="L5" s="366"/>
      <c r="M5" s="367"/>
      <c r="N5" s="366"/>
      <c r="O5" s="366"/>
      <c r="P5" s="367"/>
      <c r="Q5" s="367"/>
      <c r="R5" s="367"/>
      <c r="S5" s="366"/>
      <c r="T5" s="367"/>
      <c r="U5" s="367"/>
      <c r="V5" s="366"/>
      <c r="W5" s="367"/>
      <c r="X5" s="367"/>
      <c r="Y5" s="367"/>
      <c r="Z5" s="366"/>
      <c r="AA5" s="366"/>
      <c r="AB5" s="366"/>
      <c r="AC5" s="366"/>
      <c r="AD5" s="366"/>
      <c r="AE5" s="366"/>
      <c r="AF5" s="366"/>
      <c r="AG5" s="366"/>
      <c r="AH5" s="366"/>
      <c r="AI5" s="366"/>
      <c r="AJ5" s="366"/>
      <c r="AK5" s="366"/>
      <c r="AL5" s="366"/>
      <c r="AM5" s="366"/>
      <c r="AN5" s="366"/>
      <c r="AO5" s="368"/>
      <c r="AP5" s="368"/>
      <c r="AQ5" s="365"/>
      <c r="AR5" s="365"/>
    </row>
    <row r="6" spans="1:98" ht="8.15" customHeight="1" thickTop="1" x14ac:dyDescent="0.35">
      <c r="Y6" s="371"/>
      <c r="Z6" s="372"/>
      <c r="AD6" s="372"/>
      <c r="AE6" s="372"/>
      <c r="AI6" s="372"/>
      <c r="AJ6" s="372"/>
      <c r="AM6" s="372"/>
    </row>
    <row r="7" spans="1:98" x14ac:dyDescent="0.35">
      <c r="W7" s="507"/>
      <c r="X7" s="508" t="s">
        <v>62</v>
      </c>
      <c r="Y7" s="509"/>
      <c r="Z7" s="505"/>
      <c r="AA7" s="420"/>
      <c r="AB7" s="421"/>
      <c r="AC7" s="421"/>
      <c r="AD7" s="421"/>
      <c r="AE7" s="421"/>
      <c r="AF7" s="389" t="s">
        <v>333</v>
      </c>
      <c r="AG7" s="421"/>
      <c r="AH7" s="421"/>
      <c r="AI7" s="421"/>
      <c r="AJ7" s="421"/>
      <c r="AK7" s="421"/>
      <c r="AL7" s="421"/>
      <c r="AM7" s="421"/>
      <c r="AO7" s="376"/>
    </row>
    <row r="8" spans="1:98" x14ac:dyDescent="0.35">
      <c r="W8" s="510"/>
      <c r="X8" s="511"/>
      <c r="Y8" s="419"/>
      <c r="Z8" s="505"/>
      <c r="AA8" s="389"/>
      <c r="AB8" s="389"/>
      <c r="AC8" s="389"/>
      <c r="AD8" s="389"/>
      <c r="AE8" s="389"/>
      <c r="AF8" s="389"/>
      <c r="AG8" s="389"/>
      <c r="AH8" s="389"/>
      <c r="AI8" s="389"/>
      <c r="AJ8" s="389"/>
      <c r="AK8" s="389"/>
      <c r="AL8" s="389"/>
      <c r="AM8" s="422"/>
      <c r="AO8" s="376"/>
    </row>
    <row r="9" spans="1:98" s="267" customFormat="1" ht="33.75" customHeight="1" x14ac:dyDescent="0.35">
      <c r="B9" s="377"/>
      <c r="C9" s="378"/>
      <c r="D9" s="378"/>
      <c r="E9" s="378"/>
      <c r="F9" s="378"/>
      <c r="G9" s="378"/>
      <c r="H9" s="378"/>
      <c r="I9" s="378"/>
      <c r="J9" s="378"/>
      <c r="K9" s="379" t="s">
        <v>63</v>
      </c>
      <c r="L9" s="378"/>
      <c r="M9" s="380"/>
      <c r="N9" s="409"/>
      <c r="O9" s="913" t="s">
        <v>64</v>
      </c>
      <c r="P9" s="914"/>
      <c r="Q9" s="390"/>
      <c r="R9" s="391"/>
      <c r="S9" s="378"/>
      <c r="T9" s="380"/>
      <c r="U9" s="380"/>
      <c r="V9" s="245"/>
      <c r="W9" s="512"/>
      <c r="X9" s="423"/>
      <c r="Y9" s="424"/>
      <c r="Z9" s="506"/>
      <c r="AA9" s="425"/>
      <c r="AB9" s="425" t="s">
        <v>334</v>
      </c>
      <c r="AC9" s="426"/>
      <c r="AD9" s="427"/>
      <c r="AE9" s="428"/>
      <c r="AF9" s="426"/>
      <c r="AG9" s="429" t="s">
        <v>335</v>
      </c>
      <c r="AH9" s="426"/>
      <c r="AI9" s="427"/>
      <c r="AJ9" s="428"/>
      <c r="AK9" s="425"/>
      <c r="AL9" s="425"/>
      <c r="AM9" s="425"/>
      <c r="AO9" s="408"/>
      <c r="AP9" s="407"/>
      <c r="AQ9" s="377"/>
      <c r="AR9" s="377"/>
    </row>
    <row r="10" spans="1:98" s="382" customFormat="1" ht="194.25" customHeight="1" x14ac:dyDescent="0.35">
      <c r="A10" s="381"/>
      <c r="B10" s="499" t="s">
        <v>250</v>
      </c>
      <c r="C10" s="500" t="s">
        <v>4</v>
      </c>
      <c r="D10" s="500" t="s">
        <v>65</v>
      </c>
      <c r="E10" s="492" t="s">
        <v>66</v>
      </c>
      <c r="F10" s="500" t="s">
        <v>10</v>
      </c>
      <c r="G10" s="500" t="s">
        <v>38</v>
      </c>
      <c r="H10" s="500" t="s">
        <v>67</v>
      </c>
      <c r="I10" s="500" t="s">
        <v>68</v>
      </c>
      <c r="J10" s="500" t="s">
        <v>191</v>
      </c>
      <c r="K10" s="500" t="s">
        <v>69</v>
      </c>
      <c r="L10" s="500" t="s">
        <v>191</v>
      </c>
      <c r="M10" s="417" t="s">
        <v>192</v>
      </c>
      <c r="N10" s="494"/>
      <c r="O10" s="414" t="s">
        <v>70</v>
      </c>
      <c r="P10" s="415" t="s">
        <v>71</v>
      </c>
      <c r="Q10" s="416" t="s">
        <v>19</v>
      </c>
      <c r="R10" s="492" t="s">
        <v>72</v>
      </c>
      <c r="S10" s="492" t="s">
        <v>73</v>
      </c>
      <c r="T10" s="492" t="s">
        <v>74</v>
      </c>
      <c r="U10" s="417" t="s">
        <v>252</v>
      </c>
      <c r="V10" s="418"/>
      <c r="W10" s="416" t="s">
        <v>75</v>
      </c>
      <c r="X10" s="492" t="s">
        <v>76</v>
      </c>
      <c r="Y10" s="417" t="s">
        <v>77</v>
      </c>
      <c r="Z10" s="381"/>
      <c r="AA10" s="564" t="s">
        <v>320</v>
      </c>
      <c r="AB10" s="565" t="s">
        <v>321</v>
      </c>
      <c r="AC10" s="565" t="s">
        <v>322</v>
      </c>
      <c r="AD10" s="566" t="s">
        <v>323</v>
      </c>
      <c r="AE10" s="567"/>
      <c r="AF10" s="565" t="s">
        <v>324</v>
      </c>
      <c r="AG10" s="565" t="s">
        <v>325</v>
      </c>
      <c r="AH10" s="565" t="s">
        <v>326</v>
      </c>
      <c r="AI10" s="566" t="s">
        <v>327</v>
      </c>
      <c r="AJ10" s="568"/>
      <c r="AK10" s="564" t="s">
        <v>328</v>
      </c>
      <c r="AL10" s="565" t="s">
        <v>78</v>
      </c>
      <c r="AM10" s="566" t="s">
        <v>329</v>
      </c>
      <c r="AN10" s="409"/>
      <c r="AO10" s="572" t="s">
        <v>25</v>
      </c>
      <c r="AP10" s="573" t="s">
        <v>330</v>
      </c>
      <c r="AQ10" s="573" t="s">
        <v>331</v>
      </c>
      <c r="AR10" s="574" t="s">
        <v>332</v>
      </c>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row>
    <row r="11" spans="1:98" s="383" customFormat="1" x14ac:dyDescent="0.35">
      <c r="A11" s="381"/>
      <c r="B11" s="597"/>
      <c r="C11" s="600"/>
      <c r="D11" s="599"/>
      <c r="E11" s="598"/>
      <c r="F11" s="600"/>
      <c r="G11" s="600"/>
      <c r="H11" s="600"/>
      <c r="I11" s="600"/>
      <c r="J11" s="600"/>
      <c r="K11" s="596"/>
      <c r="L11" s="601"/>
      <c r="M11" s="602"/>
      <c r="N11" s="495"/>
      <c r="O11" s="431"/>
      <c r="P11" s="430"/>
      <c r="Q11" s="603"/>
      <c r="R11" s="605"/>
      <c r="S11" s="604"/>
      <c r="T11" s="606"/>
      <c r="U11" s="602"/>
      <c r="V11" s="502"/>
      <c r="W11" s="513">
        <v>5</v>
      </c>
      <c r="X11" s="432">
        <v>10</v>
      </c>
      <c r="Y11" s="432">
        <v>8</v>
      </c>
      <c r="Z11" s="520"/>
      <c r="AA11" s="433">
        <v>10</v>
      </c>
      <c r="AB11" s="433">
        <v>7</v>
      </c>
      <c r="AC11" s="433">
        <v>5</v>
      </c>
      <c r="AD11" s="433">
        <v>5</v>
      </c>
      <c r="AE11" s="585"/>
      <c r="AF11" s="433">
        <v>5</v>
      </c>
      <c r="AG11" s="433">
        <v>6</v>
      </c>
      <c r="AH11" s="433">
        <v>9</v>
      </c>
      <c r="AI11" s="433">
        <v>5</v>
      </c>
      <c r="AJ11" s="521"/>
      <c r="AK11" s="434">
        <v>5</v>
      </c>
      <c r="AL11" s="435"/>
      <c r="AM11" s="433">
        <v>5</v>
      </c>
      <c r="AN11" s="570"/>
      <c r="AO11" s="575"/>
      <c r="AP11" s="576"/>
      <c r="AQ11" s="577"/>
      <c r="AR11" s="578"/>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row>
    <row r="12" spans="1:98" s="386" customFormat="1" ht="14.25" hidden="1" customHeight="1" x14ac:dyDescent="0.35">
      <c r="A12" s="524"/>
      <c r="B12" s="501" t="s">
        <v>206</v>
      </c>
      <c r="C12" s="436" t="s">
        <v>207</v>
      </c>
      <c r="D12" s="436" t="s">
        <v>208</v>
      </c>
      <c r="E12" s="437" t="s">
        <v>209</v>
      </c>
      <c r="F12" s="437" t="s">
        <v>210</v>
      </c>
      <c r="G12" s="436" t="s">
        <v>211</v>
      </c>
      <c r="H12" s="449" t="s">
        <v>212</v>
      </c>
      <c r="I12" s="450" t="s">
        <v>213</v>
      </c>
      <c r="J12" s="450" t="s">
        <v>214</v>
      </c>
      <c r="K12" s="438" t="s">
        <v>215</v>
      </c>
      <c r="L12" s="439" t="s">
        <v>216</v>
      </c>
      <c r="M12" s="451" t="s">
        <v>217</v>
      </c>
      <c r="N12" s="496" t="s">
        <v>218</v>
      </c>
      <c r="O12" s="440" t="s">
        <v>219</v>
      </c>
      <c r="P12" s="441" t="s">
        <v>220</v>
      </c>
      <c r="Q12" s="493" t="s">
        <v>233</v>
      </c>
      <c r="R12" s="442" t="s">
        <v>234</v>
      </c>
      <c r="S12" s="443" t="s">
        <v>235</v>
      </c>
      <c r="T12" s="444" t="s">
        <v>236</v>
      </c>
      <c r="U12" s="451" t="s">
        <v>237</v>
      </c>
      <c r="V12" s="503" t="s">
        <v>238</v>
      </c>
      <c r="W12" s="514" t="s">
        <v>239</v>
      </c>
      <c r="X12" s="445" t="s">
        <v>240</v>
      </c>
      <c r="Y12" s="446" t="s">
        <v>241</v>
      </c>
      <c r="Z12" s="555" t="s">
        <v>253</v>
      </c>
      <c r="AA12" s="519" t="s">
        <v>254</v>
      </c>
      <c r="AB12" s="447" t="s">
        <v>255</v>
      </c>
      <c r="AC12" s="447" t="s">
        <v>256</v>
      </c>
      <c r="AD12" s="448" t="s">
        <v>257</v>
      </c>
      <c r="AE12" s="516" t="s">
        <v>258</v>
      </c>
      <c r="AF12" s="517" t="s">
        <v>259</v>
      </c>
      <c r="AG12" s="517" t="s">
        <v>260</v>
      </c>
      <c r="AH12" s="517" t="s">
        <v>261</v>
      </c>
      <c r="AI12" s="518" t="s">
        <v>262</v>
      </c>
      <c r="AJ12" s="516" t="s">
        <v>263</v>
      </c>
      <c r="AK12" s="519" t="s">
        <v>264</v>
      </c>
      <c r="AL12" s="447" t="s">
        <v>265</v>
      </c>
      <c r="AM12" s="448" t="s">
        <v>266</v>
      </c>
      <c r="AN12" s="556" t="s">
        <v>267</v>
      </c>
      <c r="AO12" s="579" t="s">
        <v>268</v>
      </c>
      <c r="AP12" s="522" t="s">
        <v>269</v>
      </c>
      <c r="AQ12" s="523" t="s">
        <v>270</v>
      </c>
      <c r="AR12" s="580" t="s">
        <v>386</v>
      </c>
    </row>
    <row r="13" spans="1:98" s="386" customFormat="1" ht="14" customHeight="1" x14ac:dyDescent="0.35">
      <c r="A13" s="524"/>
      <c r="B13" s="607">
        <v>1</v>
      </c>
      <c r="C13" s="612" t="s">
        <v>319</v>
      </c>
      <c r="D13" s="612" t="e">
        <f>#REF!</f>
        <v>#REF!</v>
      </c>
      <c r="E13" s="613" t="s">
        <v>281</v>
      </c>
      <c r="F13" s="613" t="s">
        <v>282</v>
      </c>
      <c r="G13" s="612" t="s">
        <v>283</v>
      </c>
      <c r="H13" s="614" t="s">
        <v>284</v>
      </c>
      <c r="I13" s="615">
        <v>40273</v>
      </c>
      <c r="J13" s="615">
        <f ca="1">TODAY()</f>
        <v>45140</v>
      </c>
      <c r="K13" s="616">
        <f t="shared" ref="K13:K30" ca="1" si="0">YEAR(L13)</f>
        <v>2023</v>
      </c>
      <c r="L13" s="617">
        <f t="shared" ref="L13:L30" ca="1" si="1">J13</f>
        <v>45140</v>
      </c>
      <c r="M13" s="557">
        <v>1000</v>
      </c>
      <c r="N13" s="582"/>
      <c r="O13" s="549">
        <f>VLOOKUP(Table4[[#This Row],[Column2]],'Well P&amp;A Background'!$T$5:$V$7,3,FALSE)</f>
        <v>7000</v>
      </c>
      <c r="P13" s="550">
        <f>VLOOKUP(Table4[[#This Row],[Column2]],'Well P&amp;A Background'!$T$5:$V$7,2,FALSE)</f>
        <v>10</v>
      </c>
      <c r="Q13" s="558">
        <f t="shared" ref="Q13:Q30" ca="1" si="2">IFERROR((J13-I13)/365,"")</f>
        <v>13.334246575342465</v>
      </c>
      <c r="R13" s="551" t="str">
        <f t="shared" ref="R13" ca="1" si="3">IF(Q13&gt;50,"50+",IF(AND(Q13&lt;50, Q13&gt;25),"25-50",IF(Q13&lt;25,"0-25")))</f>
        <v>0-25</v>
      </c>
      <c r="S13" s="552"/>
      <c r="T13" s="553"/>
      <c r="U13" s="557">
        <v>2</v>
      </c>
      <c r="V13" s="583"/>
      <c r="W13" s="559">
        <f ca="1">VLOOKUP(R13,'Well P&amp;A Background'!$T$20:$U$22,2,FALSE)</f>
        <v>0</v>
      </c>
      <c r="X13" s="554">
        <f>IF(M13&lt;1001,'Well P&amp;A Background'!$U$27,IF(AND(M13&gt;1000, M13&lt;3001),'Well P&amp;A Background'!$U$28, IF(AND(M13&gt;3000, M13&lt;5001),'Well P&amp;A Background'!$U$29,'Well P&amp;A Background'!$U$30)))</f>
        <v>0</v>
      </c>
      <c r="Y13" s="560">
        <f>IF(U13&lt;3,'Well P&amp;A Background'!$U$35,IF(AND(U13&gt;2, U13&lt;5),'Well P&amp;A Background'!$U$36,'Well P&amp;A Background'!$U$37))</f>
        <v>0</v>
      </c>
      <c r="Z13" s="584"/>
      <c r="AA13" s="618" t="s">
        <v>16</v>
      </c>
      <c r="AB13" s="619" t="s">
        <v>17</v>
      </c>
      <c r="AC13" s="619" t="s">
        <v>16</v>
      </c>
      <c r="AD13" s="620" t="s">
        <v>16</v>
      </c>
      <c r="AE13" s="586"/>
      <c r="AF13" s="619" t="s">
        <v>16</v>
      </c>
      <c r="AG13" s="619" t="s">
        <v>17</v>
      </c>
      <c r="AH13" s="619" t="s">
        <v>16</v>
      </c>
      <c r="AI13" s="620" t="s">
        <v>16</v>
      </c>
      <c r="AJ13" s="587"/>
      <c r="AK13" s="618" t="s">
        <v>17</v>
      </c>
      <c r="AL13" s="619"/>
      <c r="AM13" s="620" t="s">
        <v>17</v>
      </c>
      <c r="AN13" s="589"/>
      <c r="AO13" s="591">
        <f t="shared" ref="AO13:AO30" ca="1" si="4">SUMIF(AA13:AM13,"Y",$AA$11:$AM$11)+SUM(W13:Y13)</f>
        <v>23</v>
      </c>
      <c r="AP13" s="592">
        <f ca="1">VLOOKUP(AO13,'Well P&amp;A Background'!$B$15:$C$100,2)</f>
        <v>1.1625000000000001</v>
      </c>
      <c r="AQ13" s="593">
        <f t="shared" ref="AQ13:AQ30" ca="1" si="5">IFERROR(AP13*P13,0)</f>
        <v>11.625</v>
      </c>
      <c r="AR13" s="594">
        <f t="shared" ref="AR13:AR30" ca="1" si="6">IFERROR(ROUND(AQ13*O13,0),0)</f>
        <v>81375</v>
      </c>
    </row>
    <row r="14" spans="1:98" s="386" customFormat="1" ht="14.15" customHeight="1" x14ac:dyDescent="0.35">
      <c r="A14" s="524"/>
      <c r="B14" s="607">
        <v>2</v>
      </c>
      <c r="C14" s="612" t="s">
        <v>319</v>
      </c>
      <c r="D14" s="612" t="e">
        <f>#REF!</f>
        <v>#REF!</v>
      </c>
      <c r="E14" s="613" t="s">
        <v>281</v>
      </c>
      <c r="F14" s="613" t="s">
        <v>282</v>
      </c>
      <c r="G14" s="612" t="s">
        <v>285</v>
      </c>
      <c r="H14" s="614" t="s">
        <v>286</v>
      </c>
      <c r="I14" s="615">
        <v>32936</v>
      </c>
      <c r="J14" s="615">
        <f t="shared" ref="J14:J30" ca="1" si="7">TODAY()</f>
        <v>45140</v>
      </c>
      <c r="K14" s="616">
        <f t="shared" ca="1" si="0"/>
        <v>2023</v>
      </c>
      <c r="L14" s="617">
        <f t="shared" ca="1" si="1"/>
        <v>45140</v>
      </c>
      <c r="M14" s="557">
        <v>3000</v>
      </c>
      <c r="N14" s="582"/>
      <c r="O14" s="549">
        <f>VLOOKUP(Table4[[#This Row],[Column2]],'Well P&amp;A Background'!$T$5:$V$7,3,FALSE)</f>
        <v>7000</v>
      </c>
      <c r="P14" s="550">
        <f>VLOOKUP(Table4[[#This Row],[Column2]],'Well P&amp;A Background'!$T$5:$V$7,2,FALSE)</f>
        <v>10</v>
      </c>
      <c r="Q14" s="558">
        <f t="shared" ca="1" si="2"/>
        <v>33.435616438356163</v>
      </c>
      <c r="R14" s="551" t="str">
        <f t="shared" ref="R14:R27" ca="1" si="8">IF(Q14&gt;50,"50+",IF(AND(Q14&lt;50, Q14&gt;25),"25-50",IF(Q14&lt;25,"0-25")))</f>
        <v>25-50</v>
      </c>
      <c r="S14" s="552"/>
      <c r="T14" s="553"/>
      <c r="U14" s="557">
        <v>3</v>
      </c>
      <c r="V14" s="583"/>
      <c r="W14" s="559">
        <f ca="1">VLOOKUP(R14,'Well P&amp;A Background'!$T$20:$U$22,2,FALSE)</f>
        <v>3</v>
      </c>
      <c r="X14" s="554">
        <f>IF(M14&lt;1001,'Well P&amp;A Background'!$U$27,IF(AND(M14&gt;1000, M14&lt;3001),'Well P&amp;A Background'!$U$28, IF(AND(M14&gt;3000, M14&lt;5001),'Well P&amp;A Background'!$U$29,'Well P&amp;A Background'!$U$30)))</f>
        <v>4</v>
      </c>
      <c r="Y14" s="560">
        <f>IF(U14&lt;3,'Well P&amp;A Background'!$U$35,IF(AND(U14&gt;2, U14&lt;5),'Well P&amp;A Background'!$U$36,'Well P&amp;A Background'!$U$37))</f>
        <v>4</v>
      </c>
      <c r="Z14" s="555"/>
      <c r="AA14" s="618" t="s">
        <v>17</v>
      </c>
      <c r="AB14" s="619" t="s">
        <v>17</v>
      </c>
      <c r="AC14" s="619" t="s">
        <v>16</v>
      </c>
      <c r="AD14" s="620" t="s">
        <v>16</v>
      </c>
      <c r="AE14" s="586"/>
      <c r="AF14" s="619" t="s">
        <v>16</v>
      </c>
      <c r="AG14" s="619" t="s">
        <v>16</v>
      </c>
      <c r="AH14" s="619" t="s">
        <v>17</v>
      </c>
      <c r="AI14" s="620" t="s">
        <v>17</v>
      </c>
      <c r="AJ14" s="516"/>
      <c r="AK14" s="618" t="s">
        <v>16</v>
      </c>
      <c r="AL14" s="619" t="s">
        <v>16</v>
      </c>
      <c r="AM14" s="620" t="s">
        <v>17</v>
      </c>
      <c r="AN14" s="590"/>
      <c r="AO14" s="591">
        <f t="shared" ca="1" si="4"/>
        <v>47</v>
      </c>
      <c r="AP14" s="592">
        <f ca="1">VLOOKUP(AO14,'Well P&amp;A Background'!$B$15:$C$100,2)</f>
        <v>1.4624999999999999</v>
      </c>
      <c r="AQ14" s="593">
        <f t="shared" ca="1" si="5"/>
        <v>14.625</v>
      </c>
      <c r="AR14" s="594">
        <f t="shared" ca="1" si="6"/>
        <v>102375</v>
      </c>
    </row>
    <row r="15" spans="1:98" s="386" customFormat="1" ht="14.15" customHeight="1" x14ac:dyDescent="0.35">
      <c r="A15" s="524"/>
      <c r="B15" s="607">
        <v>3</v>
      </c>
      <c r="C15" s="612" t="s">
        <v>319</v>
      </c>
      <c r="D15" s="612" t="e">
        <f>#REF!</f>
        <v>#REF!</v>
      </c>
      <c r="E15" s="613" t="s">
        <v>281</v>
      </c>
      <c r="F15" s="613" t="s">
        <v>282</v>
      </c>
      <c r="G15" s="612" t="s">
        <v>287</v>
      </c>
      <c r="H15" s="614" t="s">
        <v>288</v>
      </c>
      <c r="I15" s="615">
        <v>25602</v>
      </c>
      <c r="J15" s="615">
        <f t="shared" ca="1" si="7"/>
        <v>45140</v>
      </c>
      <c r="K15" s="616">
        <f t="shared" ca="1" si="0"/>
        <v>2023</v>
      </c>
      <c r="L15" s="617">
        <f t="shared" ca="1" si="1"/>
        <v>45140</v>
      </c>
      <c r="M15" s="557">
        <v>5000</v>
      </c>
      <c r="N15" s="582"/>
      <c r="O15" s="549">
        <f>VLOOKUP(Table4[[#This Row],[Column2]],'Well P&amp;A Background'!$T$5:$V$7,3,FALSE)</f>
        <v>7000</v>
      </c>
      <c r="P15" s="550">
        <f>VLOOKUP(Table4[[#This Row],[Column2]],'Well P&amp;A Background'!$T$5:$V$7,2,FALSE)</f>
        <v>10</v>
      </c>
      <c r="Q15" s="558">
        <f t="shared" ca="1" si="2"/>
        <v>53.528767123287672</v>
      </c>
      <c r="R15" s="551" t="str">
        <f t="shared" ca="1" si="8"/>
        <v>50+</v>
      </c>
      <c r="S15" s="552"/>
      <c r="T15" s="553"/>
      <c r="U15" s="557">
        <v>4</v>
      </c>
      <c r="V15" s="583"/>
      <c r="W15" s="559">
        <f ca="1">VLOOKUP(R15,'Well P&amp;A Background'!$T$20:$U$22,2,FALSE)</f>
        <v>5</v>
      </c>
      <c r="X15" s="554">
        <f>IF(M15&lt;1001,'Well P&amp;A Background'!$U$27,IF(AND(M15&gt;1000, M15&lt;3001),'Well P&amp;A Background'!$U$28, IF(AND(M15&gt;3000, M15&lt;5001),'Well P&amp;A Background'!$U$29,'Well P&amp;A Background'!$U$30)))</f>
        <v>7</v>
      </c>
      <c r="Y15" s="560">
        <f>IF(U15&lt;3,'Well P&amp;A Background'!$U$35,IF(AND(U15&gt;2, U15&lt;5),'Well P&amp;A Background'!$U$36,'Well P&amp;A Background'!$U$37))</f>
        <v>4</v>
      </c>
      <c r="Z15" s="555"/>
      <c r="AA15" s="618" t="s">
        <v>17</v>
      </c>
      <c r="AB15" s="619" t="s">
        <v>17</v>
      </c>
      <c r="AC15" s="619" t="s">
        <v>17</v>
      </c>
      <c r="AD15" s="620" t="s">
        <v>16</v>
      </c>
      <c r="AE15" s="586"/>
      <c r="AF15" s="619" t="s">
        <v>16</v>
      </c>
      <c r="AG15" s="619" t="s">
        <v>17</v>
      </c>
      <c r="AH15" s="619" t="s">
        <v>16</v>
      </c>
      <c r="AI15" s="620" t="s">
        <v>17</v>
      </c>
      <c r="AJ15" s="516"/>
      <c r="AK15" s="618" t="s">
        <v>17</v>
      </c>
      <c r="AL15" s="619" t="s">
        <v>16</v>
      </c>
      <c r="AM15" s="620" t="s">
        <v>16</v>
      </c>
      <c r="AN15" s="590"/>
      <c r="AO15" s="591">
        <f t="shared" ca="1" si="4"/>
        <v>54</v>
      </c>
      <c r="AP15" s="592">
        <f ca="1">VLOOKUP(AO15,'Well P&amp;A Background'!$B$15:$C$100,2)</f>
        <v>1.6</v>
      </c>
      <c r="AQ15" s="593">
        <f t="shared" ca="1" si="5"/>
        <v>16</v>
      </c>
      <c r="AR15" s="594">
        <f t="shared" ca="1" si="6"/>
        <v>112000</v>
      </c>
    </row>
    <row r="16" spans="1:98" s="386" customFormat="1" ht="14.15" customHeight="1" x14ac:dyDescent="0.35">
      <c r="A16" s="524"/>
      <c r="B16" s="607">
        <v>4</v>
      </c>
      <c r="C16" s="612" t="s">
        <v>319</v>
      </c>
      <c r="D16" s="612" t="e">
        <f>#REF!</f>
        <v>#REF!</v>
      </c>
      <c r="E16" s="613" t="s">
        <v>281</v>
      </c>
      <c r="F16" s="613" t="s">
        <v>282</v>
      </c>
      <c r="G16" s="612" t="s">
        <v>289</v>
      </c>
      <c r="H16" s="614" t="s">
        <v>290</v>
      </c>
      <c r="I16" s="615">
        <v>18265</v>
      </c>
      <c r="J16" s="615">
        <f t="shared" ca="1" si="7"/>
        <v>45140</v>
      </c>
      <c r="K16" s="616">
        <f t="shared" ca="1" si="0"/>
        <v>2023</v>
      </c>
      <c r="L16" s="617">
        <f t="shared" ca="1" si="1"/>
        <v>45140</v>
      </c>
      <c r="M16" s="557">
        <v>7000</v>
      </c>
      <c r="N16" s="582"/>
      <c r="O16" s="549">
        <f>VLOOKUP(Table4[[#This Row],[Column2]],'Well P&amp;A Background'!$T$5:$V$7,3,FALSE)</f>
        <v>7000</v>
      </c>
      <c r="P16" s="550">
        <f>VLOOKUP(Table4[[#This Row],[Column2]],'Well P&amp;A Background'!$T$5:$V$7,2,FALSE)</f>
        <v>10</v>
      </c>
      <c r="Q16" s="558">
        <f t="shared" ca="1" si="2"/>
        <v>73.630136986301366</v>
      </c>
      <c r="R16" s="551" t="str">
        <f t="shared" ca="1" si="8"/>
        <v>50+</v>
      </c>
      <c r="S16" s="552"/>
      <c r="T16" s="553"/>
      <c r="U16" s="557">
        <v>5</v>
      </c>
      <c r="V16" s="583"/>
      <c r="W16" s="559">
        <f ca="1">VLOOKUP(R16,'Well P&amp;A Background'!$T$20:$U$22,2,FALSE)</f>
        <v>5</v>
      </c>
      <c r="X16" s="554">
        <f>IF(M16&lt;1001,'Well P&amp;A Background'!$U$27,IF(AND(M16&gt;1000, M16&lt;3001),'Well P&amp;A Background'!$U$28, IF(AND(M16&gt;3000, M16&lt;5001),'Well P&amp;A Background'!$U$29,'Well P&amp;A Background'!$U$30)))</f>
        <v>10</v>
      </c>
      <c r="Y16" s="560">
        <f>IF(U16&lt;3,'Well P&amp;A Background'!$U$35,IF(AND(U16&gt;2, U16&lt;5),'Well P&amp;A Background'!$U$36,'Well P&amp;A Background'!$U$37))</f>
        <v>8</v>
      </c>
      <c r="Z16" s="555"/>
      <c r="AA16" s="618" t="s">
        <v>17</v>
      </c>
      <c r="AB16" s="619" t="s">
        <v>17</v>
      </c>
      <c r="AC16" s="619" t="s">
        <v>17</v>
      </c>
      <c r="AD16" s="620" t="s">
        <v>17</v>
      </c>
      <c r="AE16" s="586"/>
      <c r="AF16" s="619" t="s">
        <v>17</v>
      </c>
      <c r="AG16" s="619" t="s">
        <v>17</v>
      </c>
      <c r="AH16" s="619" t="s">
        <v>17</v>
      </c>
      <c r="AI16" s="620" t="s">
        <v>17</v>
      </c>
      <c r="AJ16" s="516"/>
      <c r="AK16" s="618" t="s">
        <v>17</v>
      </c>
      <c r="AL16" s="619" t="s">
        <v>16</v>
      </c>
      <c r="AM16" s="620" t="s">
        <v>17</v>
      </c>
      <c r="AN16" s="590"/>
      <c r="AO16" s="591">
        <f t="shared" ca="1" si="4"/>
        <v>85</v>
      </c>
      <c r="AP16" s="592">
        <f ca="1">VLOOKUP(AO16,'Well P&amp;A Background'!$B$15:$C$100,2)</f>
        <v>2</v>
      </c>
      <c r="AQ16" s="593">
        <f t="shared" ca="1" si="5"/>
        <v>20</v>
      </c>
      <c r="AR16" s="594">
        <f t="shared" ca="1" si="6"/>
        <v>140000</v>
      </c>
    </row>
    <row r="17" spans="1:44" s="386" customFormat="1" ht="14.15" customHeight="1" x14ac:dyDescent="0.35">
      <c r="A17" s="524"/>
      <c r="B17" s="607">
        <v>5</v>
      </c>
      <c r="C17" s="612" t="s">
        <v>389</v>
      </c>
      <c r="D17" s="612" t="e">
        <f>#REF!</f>
        <v>#REF!</v>
      </c>
      <c r="E17" s="613" t="s">
        <v>281</v>
      </c>
      <c r="F17" s="613" t="s">
        <v>282</v>
      </c>
      <c r="G17" s="612" t="s">
        <v>291</v>
      </c>
      <c r="H17" s="614" t="s">
        <v>292</v>
      </c>
      <c r="I17" s="615">
        <v>40273</v>
      </c>
      <c r="J17" s="615">
        <f ca="1">TODAY()</f>
        <v>45140</v>
      </c>
      <c r="K17" s="616">
        <f t="shared" ca="1" si="0"/>
        <v>2023</v>
      </c>
      <c r="L17" s="617">
        <f t="shared" ca="1" si="1"/>
        <v>45140</v>
      </c>
      <c r="M17" s="557">
        <v>1000</v>
      </c>
      <c r="N17" s="582"/>
      <c r="O17" s="549">
        <f>VLOOKUP(Table4[[#This Row],[Column2]],'Well P&amp;A Background'!$T$5:$V$7,3,FALSE)</f>
        <v>12000</v>
      </c>
      <c r="P17" s="550">
        <f>VLOOKUP(Table4[[#This Row],[Column2]],'Well P&amp;A Background'!$T$5:$V$7,2,FALSE)</f>
        <v>8</v>
      </c>
      <c r="Q17" s="558">
        <f t="shared" ca="1" si="2"/>
        <v>13.334246575342465</v>
      </c>
      <c r="R17" s="551" t="str">
        <f t="shared" ca="1" si="8"/>
        <v>0-25</v>
      </c>
      <c r="S17" s="552"/>
      <c r="T17" s="553"/>
      <c r="U17" s="557">
        <v>2</v>
      </c>
      <c r="V17" s="583"/>
      <c r="W17" s="559">
        <f ca="1">VLOOKUP(R17,'Well P&amp;A Background'!$T$20:$U$22,2,FALSE)</f>
        <v>0</v>
      </c>
      <c r="X17" s="554">
        <f>IF(M17&lt;1001,'Well P&amp;A Background'!$U$27,IF(AND(M17&gt;1000, M17&lt;3001),'Well P&amp;A Background'!$U$28, IF(AND(M17&gt;3000, M17&lt;5001),'Well P&amp;A Background'!$U$29,'Well P&amp;A Background'!$U$30)))</f>
        <v>0</v>
      </c>
      <c r="Y17" s="560">
        <f>IF(U17&lt;3,'Well P&amp;A Background'!$U$35,IF(AND(U17&gt;2, U17&lt;5),'Well P&amp;A Background'!$U$36,'Well P&amp;A Background'!$U$37))</f>
        <v>0</v>
      </c>
      <c r="Z17" s="555"/>
      <c r="AA17" s="618" t="s">
        <v>16</v>
      </c>
      <c r="AB17" s="619" t="s">
        <v>17</v>
      </c>
      <c r="AC17" s="619" t="s">
        <v>16</v>
      </c>
      <c r="AD17" s="620" t="s">
        <v>16</v>
      </c>
      <c r="AE17" s="586"/>
      <c r="AF17" s="619" t="s">
        <v>16</v>
      </c>
      <c r="AG17" s="619" t="s">
        <v>17</v>
      </c>
      <c r="AH17" s="619" t="s">
        <v>16</v>
      </c>
      <c r="AI17" s="620" t="s">
        <v>16</v>
      </c>
      <c r="AJ17" s="587"/>
      <c r="AK17" s="618" t="s">
        <v>17</v>
      </c>
      <c r="AL17" s="619"/>
      <c r="AM17" s="620" t="s">
        <v>17</v>
      </c>
      <c r="AN17" s="590"/>
      <c r="AO17" s="591">
        <f t="shared" ca="1" si="4"/>
        <v>23</v>
      </c>
      <c r="AP17" s="592">
        <f ca="1">VLOOKUP(AO17,'Well P&amp;A Background'!$B$15:$C$100,2)</f>
        <v>1.1625000000000001</v>
      </c>
      <c r="AQ17" s="593">
        <f t="shared" ca="1" si="5"/>
        <v>9.3000000000000007</v>
      </c>
      <c r="AR17" s="594">
        <f t="shared" ca="1" si="6"/>
        <v>111600</v>
      </c>
    </row>
    <row r="18" spans="1:44" s="386" customFormat="1" ht="14.15" customHeight="1" x14ac:dyDescent="0.35">
      <c r="A18" s="524"/>
      <c r="B18" s="607">
        <v>6</v>
      </c>
      <c r="C18" s="612" t="s">
        <v>389</v>
      </c>
      <c r="D18" s="612" t="e">
        <f>#REF!</f>
        <v>#REF!</v>
      </c>
      <c r="E18" s="613" t="s">
        <v>281</v>
      </c>
      <c r="F18" s="613" t="s">
        <v>282</v>
      </c>
      <c r="G18" s="612" t="s">
        <v>293</v>
      </c>
      <c r="H18" s="614" t="s">
        <v>294</v>
      </c>
      <c r="I18" s="615">
        <v>32936</v>
      </c>
      <c r="J18" s="615">
        <f t="shared" ca="1" si="7"/>
        <v>45140</v>
      </c>
      <c r="K18" s="616">
        <f t="shared" ca="1" si="0"/>
        <v>2023</v>
      </c>
      <c r="L18" s="617">
        <f t="shared" ca="1" si="1"/>
        <v>45140</v>
      </c>
      <c r="M18" s="557">
        <v>3000</v>
      </c>
      <c r="N18" s="582"/>
      <c r="O18" s="549">
        <f>VLOOKUP(Table4[[#This Row],[Column2]],'Well P&amp;A Background'!$T$5:$V$7,3,FALSE)</f>
        <v>12000</v>
      </c>
      <c r="P18" s="550">
        <f>VLOOKUP(Table4[[#This Row],[Column2]],'Well P&amp;A Background'!$T$5:$V$7,2,FALSE)</f>
        <v>8</v>
      </c>
      <c r="Q18" s="558">
        <f t="shared" ca="1" si="2"/>
        <v>33.435616438356163</v>
      </c>
      <c r="R18" s="551" t="str">
        <f t="shared" ca="1" si="8"/>
        <v>25-50</v>
      </c>
      <c r="S18" s="552"/>
      <c r="T18" s="553"/>
      <c r="U18" s="557">
        <v>3</v>
      </c>
      <c r="V18" s="583"/>
      <c r="W18" s="559">
        <f ca="1">VLOOKUP(R18,'Well P&amp;A Background'!$T$20:$U$22,2,FALSE)</f>
        <v>3</v>
      </c>
      <c r="X18" s="554">
        <f>IF(M18&lt;1001,'Well P&amp;A Background'!$U$27,IF(AND(M18&gt;1000, M18&lt;3001),'Well P&amp;A Background'!$U$28, IF(AND(M18&gt;3000, M18&lt;5001),'Well P&amp;A Background'!$U$29,'Well P&amp;A Background'!$U$30)))</f>
        <v>4</v>
      </c>
      <c r="Y18" s="560">
        <f>IF(U18&lt;3,'Well P&amp;A Background'!$U$35,IF(AND(U18&gt;2, U18&lt;5),'Well P&amp;A Background'!$U$36,'Well P&amp;A Background'!$U$37))</f>
        <v>4</v>
      </c>
      <c r="Z18" s="555"/>
      <c r="AA18" s="618" t="s">
        <v>17</v>
      </c>
      <c r="AB18" s="619" t="s">
        <v>17</v>
      </c>
      <c r="AC18" s="619" t="s">
        <v>16</v>
      </c>
      <c r="AD18" s="620" t="s">
        <v>16</v>
      </c>
      <c r="AE18" s="586"/>
      <c r="AF18" s="619" t="s">
        <v>16</v>
      </c>
      <c r="AG18" s="619" t="s">
        <v>16</v>
      </c>
      <c r="AH18" s="619" t="s">
        <v>17</v>
      </c>
      <c r="AI18" s="620" t="s">
        <v>17</v>
      </c>
      <c r="AJ18" s="516"/>
      <c r="AK18" s="618" t="s">
        <v>16</v>
      </c>
      <c r="AL18" s="619" t="s">
        <v>16</v>
      </c>
      <c r="AM18" s="620" t="s">
        <v>17</v>
      </c>
      <c r="AN18" s="590"/>
      <c r="AO18" s="591">
        <f t="shared" ca="1" si="4"/>
        <v>47</v>
      </c>
      <c r="AP18" s="592">
        <f ca="1">VLOOKUP(AO18,'Well P&amp;A Background'!$B$15:$C$100,2)</f>
        <v>1.4624999999999999</v>
      </c>
      <c r="AQ18" s="593">
        <f t="shared" ca="1" si="5"/>
        <v>11.7</v>
      </c>
      <c r="AR18" s="594">
        <f t="shared" ca="1" si="6"/>
        <v>140400</v>
      </c>
    </row>
    <row r="19" spans="1:44" s="386" customFormat="1" ht="14" customHeight="1" x14ac:dyDescent="0.35">
      <c r="A19" s="524"/>
      <c r="B19" s="607">
        <v>7</v>
      </c>
      <c r="C19" s="612" t="s">
        <v>389</v>
      </c>
      <c r="D19" s="612" t="e">
        <f>#REF!</f>
        <v>#REF!</v>
      </c>
      <c r="E19" s="613" t="s">
        <v>281</v>
      </c>
      <c r="F19" s="613" t="s">
        <v>282</v>
      </c>
      <c r="G19" s="612" t="s">
        <v>295</v>
      </c>
      <c r="H19" s="614" t="s">
        <v>296</v>
      </c>
      <c r="I19" s="615">
        <v>25602</v>
      </c>
      <c r="J19" s="615">
        <f t="shared" ca="1" si="7"/>
        <v>45140</v>
      </c>
      <c r="K19" s="616">
        <f t="shared" ca="1" si="0"/>
        <v>2023</v>
      </c>
      <c r="L19" s="617">
        <f t="shared" ca="1" si="1"/>
        <v>45140</v>
      </c>
      <c r="M19" s="557">
        <v>5000</v>
      </c>
      <c r="N19" s="582"/>
      <c r="O19" s="549">
        <f>VLOOKUP(Table4[[#This Row],[Column2]],'Well P&amp;A Background'!$T$5:$V$7,3,FALSE)</f>
        <v>12000</v>
      </c>
      <c r="P19" s="550">
        <f>VLOOKUP(Table4[[#This Row],[Column2]],'Well P&amp;A Background'!$T$5:$V$7,2,FALSE)</f>
        <v>8</v>
      </c>
      <c r="Q19" s="558">
        <f t="shared" ca="1" si="2"/>
        <v>53.528767123287672</v>
      </c>
      <c r="R19" s="551" t="str">
        <f t="shared" ca="1" si="8"/>
        <v>50+</v>
      </c>
      <c r="S19" s="552"/>
      <c r="T19" s="553"/>
      <c r="U19" s="557">
        <v>4</v>
      </c>
      <c r="V19" s="583"/>
      <c r="W19" s="559">
        <f ca="1">VLOOKUP(R19,'Well P&amp;A Background'!$T$20:$U$22,2,FALSE)</f>
        <v>5</v>
      </c>
      <c r="X19" s="554">
        <f>IF(M19&lt;1001,'Well P&amp;A Background'!$U$27,IF(AND(M19&gt;1000, M19&lt;3001),'Well P&amp;A Background'!$U$28, IF(AND(M19&gt;3000, M19&lt;5001),'Well P&amp;A Background'!$U$29,'Well P&amp;A Background'!$U$30)))</f>
        <v>7</v>
      </c>
      <c r="Y19" s="560">
        <f>IF(U19&lt;3,'Well P&amp;A Background'!$U$35,IF(AND(U19&gt;2, U19&lt;5),'Well P&amp;A Background'!$U$36,'Well P&amp;A Background'!$U$37))</f>
        <v>4</v>
      </c>
      <c r="Z19" s="555"/>
      <c r="AA19" s="618" t="s">
        <v>17</v>
      </c>
      <c r="AB19" s="619" t="s">
        <v>17</v>
      </c>
      <c r="AC19" s="619" t="s">
        <v>17</v>
      </c>
      <c r="AD19" s="620" t="s">
        <v>16</v>
      </c>
      <c r="AE19" s="586"/>
      <c r="AF19" s="619" t="s">
        <v>16</v>
      </c>
      <c r="AG19" s="619" t="s">
        <v>17</v>
      </c>
      <c r="AH19" s="619" t="s">
        <v>16</v>
      </c>
      <c r="AI19" s="620" t="s">
        <v>17</v>
      </c>
      <c r="AJ19" s="516"/>
      <c r="AK19" s="618" t="s">
        <v>17</v>
      </c>
      <c r="AL19" s="619" t="s">
        <v>16</v>
      </c>
      <c r="AM19" s="620" t="s">
        <v>16</v>
      </c>
      <c r="AN19" s="590"/>
      <c r="AO19" s="591">
        <f t="shared" ca="1" si="4"/>
        <v>54</v>
      </c>
      <c r="AP19" s="592">
        <f ca="1">VLOOKUP(AO19,'Well P&amp;A Background'!$B$15:$C$100,2)</f>
        <v>1.6</v>
      </c>
      <c r="AQ19" s="593">
        <f t="shared" ca="1" si="5"/>
        <v>12.8</v>
      </c>
      <c r="AR19" s="594">
        <f t="shared" ca="1" si="6"/>
        <v>153600</v>
      </c>
    </row>
    <row r="20" spans="1:44" s="386" customFormat="1" ht="14" customHeight="1" x14ac:dyDescent="0.35">
      <c r="A20" s="524"/>
      <c r="B20" s="607">
        <v>8</v>
      </c>
      <c r="C20" s="612" t="s">
        <v>389</v>
      </c>
      <c r="D20" s="612" t="e">
        <f>#REF!</f>
        <v>#REF!</v>
      </c>
      <c r="E20" s="613" t="s">
        <v>281</v>
      </c>
      <c r="F20" s="613" t="s">
        <v>282</v>
      </c>
      <c r="G20" s="612" t="s">
        <v>297</v>
      </c>
      <c r="H20" s="614" t="s">
        <v>298</v>
      </c>
      <c r="I20" s="615">
        <v>18265</v>
      </c>
      <c r="J20" s="615">
        <f t="shared" ca="1" si="7"/>
        <v>45140</v>
      </c>
      <c r="K20" s="616">
        <f t="shared" ca="1" si="0"/>
        <v>2023</v>
      </c>
      <c r="L20" s="617">
        <f t="shared" ca="1" si="1"/>
        <v>45140</v>
      </c>
      <c r="M20" s="557">
        <v>7000</v>
      </c>
      <c r="N20" s="582"/>
      <c r="O20" s="549">
        <f>VLOOKUP(Table4[[#This Row],[Column2]],'Well P&amp;A Background'!$T$5:$V$7,3,FALSE)</f>
        <v>12000</v>
      </c>
      <c r="P20" s="550">
        <f>VLOOKUP(Table4[[#This Row],[Column2]],'Well P&amp;A Background'!$T$5:$V$7,2,FALSE)</f>
        <v>8</v>
      </c>
      <c r="Q20" s="558">
        <f t="shared" ca="1" si="2"/>
        <v>73.630136986301366</v>
      </c>
      <c r="R20" s="551" t="str">
        <f t="shared" ca="1" si="8"/>
        <v>50+</v>
      </c>
      <c r="S20" s="552"/>
      <c r="T20" s="553"/>
      <c r="U20" s="557">
        <v>5</v>
      </c>
      <c r="V20" s="583"/>
      <c r="W20" s="559">
        <f ca="1">VLOOKUP(R20,'Well P&amp;A Background'!$T$20:$U$22,2,FALSE)</f>
        <v>5</v>
      </c>
      <c r="X20" s="554">
        <f>IF(M20&lt;1001,'Well P&amp;A Background'!$U$27,IF(AND(M20&gt;1000, M20&lt;3001),'Well P&amp;A Background'!$U$28, IF(AND(M20&gt;3000, M20&lt;5001),'Well P&amp;A Background'!$U$29,'Well P&amp;A Background'!$U$30)))</f>
        <v>10</v>
      </c>
      <c r="Y20" s="560">
        <f>IF(U20&lt;3,'Well P&amp;A Background'!$U$35,IF(AND(U20&gt;2, U20&lt;5),'Well P&amp;A Background'!$U$36,'Well P&amp;A Background'!$U$37))</f>
        <v>8</v>
      </c>
      <c r="Z20" s="555"/>
      <c r="AA20" s="618" t="s">
        <v>17</v>
      </c>
      <c r="AB20" s="619" t="s">
        <v>17</v>
      </c>
      <c r="AC20" s="619" t="s">
        <v>17</v>
      </c>
      <c r="AD20" s="620" t="s">
        <v>17</v>
      </c>
      <c r="AE20" s="586"/>
      <c r="AF20" s="619" t="s">
        <v>17</v>
      </c>
      <c r="AG20" s="619" t="s">
        <v>17</v>
      </c>
      <c r="AH20" s="619" t="s">
        <v>17</v>
      </c>
      <c r="AI20" s="620" t="s">
        <v>17</v>
      </c>
      <c r="AJ20" s="516"/>
      <c r="AK20" s="618" t="s">
        <v>17</v>
      </c>
      <c r="AL20" s="619" t="s">
        <v>16</v>
      </c>
      <c r="AM20" s="620" t="s">
        <v>17</v>
      </c>
      <c r="AN20" s="590"/>
      <c r="AO20" s="591">
        <f t="shared" ca="1" si="4"/>
        <v>85</v>
      </c>
      <c r="AP20" s="592">
        <f ca="1">VLOOKUP(AO20,'Well P&amp;A Background'!$B$15:$C$100,2)</f>
        <v>2</v>
      </c>
      <c r="AQ20" s="593">
        <f t="shared" ca="1" si="5"/>
        <v>16</v>
      </c>
      <c r="AR20" s="594">
        <f t="shared" ca="1" si="6"/>
        <v>192000</v>
      </c>
    </row>
    <row r="21" spans="1:44" s="386" customFormat="1" ht="14" customHeight="1" x14ac:dyDescent="0.35">
      <c r="A21" s="524"/>
      <c r="B21" s="607">
        <v>9</v>
      </c>
      <c r="C21" s="612" t="s">
        <v>36</v>
      </c>
      <c r="D21" s="612" t="e">
        <f>#REF!</f>
        <v>#REF!</v>
      </c>
      <c r="E21" s="613" t="s">
        <v>281</v>
      </c>
      <c r="F21" s="613" t="s">
        <v>282</v>
      </c>
      <c r="G21" s="612" t="s">
        <v>299</v>
      </c>
      <c r="H21" s="614" t="s">
        <v>300</v>
      </c>
      <c r="I21" s="615">
        <v>40273</v>
      </c>
      <c r="J21" s="615">
        <f ca="1">TODAY()</f>
        <v>45140</v>
      </c>
      <c r="K21" s="616">
        <f t="shared" ca="1" si="0"/>
        <v>2023</v>
      </c>
      <c r="L21" s="617">
        <f t="shared" ca="1" si="1"/>
        <v>45140</v>
      </c>
      <c r="M21" s="557">
        <v>1000</v>
      </c>
      <c r="N21" s="582"/>
      <c r="O21" s="549">
        <f>VLOOKUP(Table4[[#This Row],[Column2]],'Well P&amp;A Background'!$T$5:$V$7,3,FALSE)</f>
        <v>12500</v>
      </c>
      <c r="P21" s="550">
        <f>VLOOKUP(Table4[[#This Row],[Column2]],'Well P&amp;A Background'!$T$5:$V$7,2,FALSE)</f>
        <v>14</v>
      </c>
      <c r="Q21" s="558">
        <f t="shared" ca="1" si="2"/>
        <v>13.334246575342465</v>
      </c>
      <c r="R21" s="551" t="str">
        <f t="shared" ca="1" si="8"/>
        <v>0-25</v>
      </c>
      <c r="S21" s="552"/>
      <c r="T21" s="553"/>
      <c r="U21" s="557">
        <v>2</v>
      </c>
      <c r="V21" s="583"/>
      <c r="W21" s="559">
        <f ca="1">VLOOKUP(R21,'Well P&amp;A Background'!$T$20:$U$22,2,FALSE)</f>
        <v>0</v>
      </c>
      <c r="X21" s="554">
        <f>IF(M21&lt;1001,'Well P&amp;A Background'!$U$27,IF(AND(M21&gt;1000, M21&lt;3001),'Well P&amp;A Background'!$U$28, IF(AND(M21&gt;3000, M21&lt;5001),'Well P&amp;A Background'!$U$29,'Well P&amp;A Background'!$U$30)))</f>
        <v>0</v>
      </c>
      <c r="Y21" s="560">
        <f>IF(U21&lt;3,'Well P&amp;A Background'!$U$35,IF(AND(U21&gt;2, U21&lt;5),'Well P&amp;A Background'!$U$36,'Well P&amp;A Background'!$U$37))</f>
        <v>0</v>
      </c>
      <c r="Z21" s="555"/>
      <c r="AA21" s="618" t="s">
        <v>16</v>
      </c>
      <c r="AB21" s="619" t="s">
        <v>17</v>
      </c>
      <c r="AC21" s="619" t="s">
        <v>16</v>
      </c>
      <c r="AD21" s="620" t="s">
        <v>16</v>
      </c>
      <c r="AE21" s="586"/>
      <c r="AF21" s="619" t="s">
        <v>16</v>
      </c>
      <c r="AG21" s="619" t="s">
        <v>17</v>
      </c>
      <c r="AH21" s="619" t="s">
        <v>16</v>
      </c>
      <c r="AI21" s="620" t="s">
        <v>16</v>
      </c>
      <c r="AJ21" s="587"/>
      <c r="AK21" s="618" t="s">
        <v>17</v>
      </c>
      <c r="AL21" s="619"/>
      <c r="AM21" s="620" t="s">
        <v>17</v>
      </c>
      <c r="AN21" s="590"/>
      <c r="AO21" s="591">
        <f t="shared" ca="1" si="4"/>
        <v>23</v>
      </c>
      <c r="AP21" s="592">
        <f ca="1">VLOOKUP(AO21,'Well P&amp;A Background'!$B$15:$C$100,2)</f>
        <v>1.1625000000000001</v>
      </c>
      <c r="AQ21" s="593">
        <f t="shared" ca="1" si="5"/>
        <v>16.275000000000002</v>
      </c>
      <c r="AR21" s="594">
        <f t="shared" ca="1" si="6"/>
        <v>203438</v>
      </c>
    </row>
    <row r="22" spans="1:44" s="386" customFormat="1" ht="14.15" customHeight="1" x14ac:dyDescent="0.35">
      <c r="A22" s="524"/>
      <c r="B22" s="607">
        <v>10</v>
      </c>
      <c r="C22" s="612" t="s">
        <v>36</v>
      </c>
      <c r="D22" s="612" t="e">
        <f>#REF!</f>
        <v>#REF!</v>
      </c>
      <c r="E22" s="613" t="s">
        <v>281</v>
      </c>
      <c r="F22" s="613" t="s">
        <v>282</v>
      </c>
      <c r="G22" s="612" t="s">
        <v>301</v>
      </c>
      <c r="H22" s="614" t="s">
        <v>302</v>
      </c>
      <c r="I22" s="615">
        <v>32936</v>
      </c>
      <c r="J22" s="615">
        <f t="shared" ca="1" si="7"/>
        <v>45140</v>
      </c>
      <c r="K22" s="616">
        <f t="shared" ca="1" si="0"/>
        <v>2023</v>
      </c>
      <c r="L22" s="617">
        <f t="shared" ca="1" si="1"/>
        <v>45140</v>
      </c>
      <c r="M22" s="557">
        <v>3000</v>
      </c>
      <c r="N22" s="582"/>
      <c r="O22" s="549">
        <f>VLOOKUP(Table4[[#This Row],[Column2]],'Well P&amp;A Background'!$T$5:$V$7,3,FALSE)</f>
        <v>12500</v>
      </c>
      <c r="P22" s="550">
        <f>VLOOKUP(Table4[[#This Row],[Column2]],'Well P&amp;A Background'!$T$5:$V$7,2,FALSE)</f>
        <v>14</v>
      </c>
      <c r="Q22" s="558">
        <f t="shared" ca="1" si="2"/>
        <v>33.435616438356163</v>
      </c>
      <c r="R22" s="551" t="str">
        <f t="shared" ca="1" si="8"/>
        <v>25-50</v>
      </c>
      <c r="S22" s="552"/>
      <c r="T22" s="553"/>
      <c r="U22" s="557">
        <v>3</v>
      </c>
      <c r="V22" s="583"/>
      <c r="W22" s="559">
        <f ca="1">VLOOKUP(R22,'Well P&amp;A Background'!$T$20:$U$22,2,FALSE)</f>
        <v>3</v>
      </c>
      <c r="X22" s="554">
        <f>IF(M22&lt;1001,'Well P&amp;A Background'!$U$27,IF(AND(M22&gt;1000, M22&lt;3001),'Well P&amp;A Background'!$U$28, IF(AND(M22&gt;3000, M22&lt;5001),'Well P&amp;A Background'!$U$29,'Well P&amp;A Background'!$U$30)))</f>
        <v>4</v>
      </c>
      <c r="Y22" s="560">
        <f>IF(U22&lt;3,'Well P&amp;A Background'!$U$35,IF(AND(U22&gt;2, U22&lt;5),'Well P&amp;A Background'!$U$36,'Well P&amp;A Background'!$U$37))</f>
        <v>4</v>
      </c>
      <c r="Z22" s="555"/>
      <c r="AA22" s="618" t="s">
        <v>17</v>
      </c>
      <c r="AB22" s="619" t="s">
        <v>17</v>
      </c>
      <c r="AC22" s="619" t="s">
        <v>16</v>
      </c>
      <c r="AD22" s="620" t="s">
        <v>16</v>
      </c>
      <c r="AE22" s="586"/>
      <c r="AF22" s="619" t="s">
        <v>16</v>
      </c>
      <c r="AG22" s="619" t="s">
        <v>16</v>
      </c>
      <c r="AH22" s="619" t="s">
        <v>17</v>
      </c>
      <c r="AI22" s="620" t="s">
        <v>17</v>
      </c>
      <c r="AJ22" s="516"/>
      <c r="AK22" s="618" t="s">
        <v>16</v>
      </c>
      <c r="AL22" s="619" t="s">
        <v>16</v>
      </c>
      <c r="AM22" s="620" t="s">
        <v>17</v>
      </c>
      <c r="AN22" s="590"/>
      <c r="AO22" s="591">
        <f t="shared" ca="1" si="4"/>
        <v>47</v>
      </c>
      <c r="AP22" s="592">
        <f ca="1">VLOOKUP(AO22,'Well P&amp;A Background'!$B$15:$C$100,2)</f>
        <v>1.4624999999999999</v>
      </c>
      <c r="AQ22" s="593">
        <f t="shared" ca="1" si="5"/>
        <v>20.474999999999998</v>
      </c>
      <c r="AR22" s="594">
        <f t="shared" ca="1" si="6"/>
        <v>255938</v>
      </c>
    </row>
    <row r="23" spans="1:44" s="386" customFormat="1" ht="14" customHeight="1" x14ac:dyDescent="0.35">
      <c r="A23" s="524"/>
      <c r="B23" s="607">
        <v>11</v>
      </c>
      <c r="C23" s="612" t="s">
        <v>36</v>
      </c>
      <c r="D23" s="612" t="e">
        <f>#REF!</f>
        <v>#REF!</v>
      </c>
      <c r="E23" s="613" t="s">
        <v>281</v>
      </c>
      <c r="F23" s="613" t="s">
        <v>282</v>
      </c>
      <c r="G23" s="612" t="s">
        <v>303</v>
      </c>
      <c r="H23" s="614" t="s">
        <v>304</v>
      </c>
      <c r="I23" s="615">
        <v>25602</v>
      </c>
      <c r="J23" s="615">
        <f t="shared" ca="1" si="7"/>
        <v>45140</v>
      </c>
      <c r="K23" s="616">
        <f t="shared" ca="1" si="0"/>
        <v>2023</v>
      </c>
      <c r="L23" s="617">
        <f t="shared" ca="1" si="1"/>
        <v>45140</v>
      </c>
      <c r="M23" s="557">
        <v>5000</v>
      </c>
      <c r="N23" s="582"/>
      <c r="O23" s="549">
        <f>VLOOKUP(Table4[[#This Row],[Column2]],'Well P&amp;A Background'!$T$5:$V$7,3,FALSE)</f>
        <v>12500</v>
      </c>
      <c r="P23" s="550">
        <f>VLOOKUP(Table4[[#This Row],[Column2]],'Well P&amp;A Background'!$T$5:$V$7,2,FALSE)</f>
        <v>14</v>
      </c>
      <c r="Q23" s="558">
        <f t="shared" ca="1" si="2"/>
        <v>53.528767123287672</v>
      </c>
      <c r="R23" s="551" t="str">
        <f t="shared" ca="1" si="8"/>
        <v>50+</v>
      </c>
      <c r="S23" s="552"/>
      <c r="T23" s="553"/>
      <c r="U23" s="557">
        <v>4</v>
      </c>
      <c r="V23" s="583"/>
      <c r="W23" s="559">
        <f ca="1">VLOOKUP(R23,'Well P&amp;A Background'!$T$20:$U$22,2,FALSE)</f>
        <v>5</v>
      </c>
      <c r="X23" s="554">
        <f>IF(M23&lt;1001,'Well P&amp;A Background'!$U$27,IF(AND(M23&gt;1000, M23&lt;3001),'Well P&amp;A Background'!$U$28, IF(AND(M23&gt;3000, M23&lt;5001),'Well P&amp;A Background'!$U$29,'Well P&amp;A Background'!$U$30)))</f>
        <v>7</v>
      </c>
      <c r="Y23" s="560">
        <f>IF(U23&lt;3,'Well P&amp;A Background'!$U$35,IF(AND(U23&gt;2, U23&lt;5),'Well P&amp;A Background'!$U$36,'Well P&amp;A Background'!$U$37))</f>
        <v>4</v>
      </c>
      <c r="Z23" s="555"/>
      <c r="AA23" s="618" t="s">
        <v>17</v>
      </c>
      <c r="AB23" s="619" t="s">
        <v>17</v>
      </c>
      <c r="AC23" s="619" t="s">
        <v>17</v>
      </c>
      <c r="AD23" s="620" t="s">
        <v>16</v>
      </c>
      <c r="AE23" s="586"/>
      <c r="AF23" s="619" t="s">
        <v>16</v>
      </c>
      <c r="AG23" s="619" t="s">
        <v>17</v>
      </c>
      <c r="AH23" s="619" t="s">
        <v>16</v>
      </c>
      <c r="AI23" s="620" t="s">
        <v>17</v>
      </c>
      <c r="AJ23" s="516"/>
      <c r="AK23" s="618" t="s">
        <v>17</v>
      </c>
      <c r="AL23" s="619" t="s">
        <v>16</v>
      </c>
      <c r="AM23" s="620" t="s">
        <v>16</v>
      </c>
      <c r="AN23" s="590"/>
      <c r="AO23" s="591">
        <f t="shared" ca="1" si="4"/>
        <v>54</v>
      </c>
      <c r="AP23" s="592">
        <f ca="1">VLOOKUP(AO23,'Well P&amp;A Background'!$B$15:$C$100,2)</f>
        <v>1.6</v>
      </c>
      <c r="AQ23" s="593">
        <f t="shared" ca="1" si="5"/>
        <v>22.400000000000002</v>
      </c>
      <c r="AR23" s="594">
        <f t="shared" ca="1" si="6"/>
        <v>280000</v>
      </c>
    </row>
    <row r="24" spans="1:44" s="386" customFormat="1" ht="14.15" customHeight="1" x14ac:dyDescent="0.35">
      <c r="A24" s="524"/>
      <c r="B24" s="607">
        <v>12</v>
      </c>
      <c r="C24" s="612" t="s">
        <v>36</v>
      </c>
      <c r="D24" s="612" t="e">
        <f>#REF!</f>
        <v>#REF!</v>
      </c>
      <c r="E24" s="613" t="s">
        <v>281</v>
      </c>
      <c r="F24" s="613" t="s">
        <v>282</v>
      </c>
      <c r="G24" s="612" t="s">
        <v>305</v>
      </c>
      <c r="H24" s="614" t="s">
        <v>306</v>
      </c>
      <c r="I24" s="615">
        <v>18265</v>
      </c>
      <c r="J24" s="615">
        <f t="shared" ca="1" si="7"/>
        <v>45140</v>
      </c>
      <c r="K24" s="616">
        <f t="shared" ca="1" si="0"/>
        <v>2023</v>
      </c>
      <c r="L24" s="617">
        <f t="shared" ca="1" si="1"/>
        <v>45140</v>
      </c>
      <c r="M24" s="557">
        <v>7000</v>
      </c>
      <c r="N24" s="582"/>
      <c r="O24" s="549">
        <f>VLOOKUP(Table4[[#This Row],[Column2]],'Well P&amp;A Background'!$T$5:$V$7,3,FALSE)</f>
        <v>12500</v>
      </c>
      <c r="P24" s="550">
        <f>VLOOKUP(Table4[[#This Row],[Column2]],'Well P&amp;A Background'!$T$5:$V$7,2,FALSE)</f>
        <v>14</v>
      </c>
      <c r="Q24" s="558">
        <f t="shared" ca="1" si="2"/>
        <v>73.630136986301366</v>
      </c>
      <c r="R24" s="551" t="str">
        <f t="shared" ca="1" si="8"/>
        <v>50+</v>
      </c>
      <c r="S24" s="552"/>
      <c r="T24" s="553"/>
      <c r="U24" s="557">
        <v>5</v>
      </c>
      <c r="V24" s="583"/>
      <c r="W24" s="559">
        <f ca="1">VLOOKUP(R24,'Well P&amp;A Background'!$T$20:$U$22,2,FALSE)</f>
        <v>5</v>
      </c>
      <c r="X24" s="554">
        <f>IF(M24&lt;1001,'Well P&amp;A Background'!$U$27,IF(AND(M24&gt;1000, M24&lt;3001),'Well P&amp;A Background'!$U$28, IF(AND(M24&gt;3000, M24&lt;5001),'Well P&amp;A Background'!$U$29,'Well P&amp;A Background'!$U$30)))</f>
        <v>10</v>
      </c>
      <c r="Y24" s="560">
        <f>IF(U24&lt;3,'Well P&amp;A Background'!$U$35,IF(AND(U24&gt;2, U24&lt;5),'Well P&amp;A Background'!$U$36,'Well P&amp;A Background'!$U$37))</f>
        <v>8</v>
      </c>
      <c r="Z24" s="555"/>
      <c r="AA24" s="618" t="s">
        <v>17</v>
      </c>
      <c r="AB24" s="619" t="s">
        <v>17</v>
      </c>
      <c r="AC24" s="619" t="s">
        <v>17</v>
      </c>
      <c r="AD24" s="620" t="s">
        <v>17</v>
      </c>
      <c r="AE24" s="586"/>
      <c r="AF24" s="619" t="s">
        <v>17</v>
      </c>
      <c r="AG24" s="619" t="s">
        <v>17</v>
      </c>
      <c r="AH24" s="619" t="s">
        <v>17</v>
      </c>
      <c r="AI24" s="620" t="s">
        <v>17</v>
      </c>
      <c r="AJ24" s="516"/>
      <c r="AK24" s="618" t="s">
        <v>17</v>
      </c>
      <c r="AL24" s="619" t="s">
        <v>16</v>
      </c>
      <c r="AM24" s="620" t="s">
        <v>17</v>
      </c>
      <c r="AN24" s="590"/>
      <c r="AO24" s="591">
        <f t="shared" ca="1" si="4"/>
        <v>85</v>
      </c>
      <c r="AP24" s="592">
        <f ca="1">VLOOKUP(AO24,'Well P&amp;A Background'!$B$15:$C$100,2)</f>
        <v>2</v>
      </c>
      <c r="AQ24" s="593">
        <f t="shared" ca="1" si="5"/>
        <v>28</v>
      </c>
      <c r="AR24" s="594">
        <f t="shared" ca="1" si="6"/>
        <v>350000</v>
      </c>
    </row>
    <row r="25" spans="1:44" s="386" customFormat="1" ht="14" customHeight="1" x14ac:dyDescent="0.35">
      <c r="A25" s="524"/>
      <c r="B25" s="607">
        <v>13</v>
      </c>
      <c r="C25" s="612" t="s">
        <v>319</v>
      </c>
      <c r="D25" s="612" t="e">
        <f>#REF!</f>
        <v>#REF!</v>
      </c>
      <c r="E25" s="613" t="s">
        <v>281</v>
      </c>
      <c r="F25" s="613" t="s">
        <v>282</v>
      </c>
      <c r="G25" s="612" t="s">
        <v>307</v>
      </c>
      <c r="H25" s="614" t="s">
        <v>308</v>
      </c>
      <c r="I25" s="615">
        <v>40273</v>
      </c>
      <c r="J25" s="615">
        <f ca="1">TODAY()</f>
        <v>45140</v>
      </c>
      <c r="K25" s="616">
        <f t="shared" ca="1" si="0"/>
        <v>2023</v>
      </c>
      <c r="L25" s="617">
        <f t="shared" ca="1" si="1"/>
        <v>45140</v>
      </c>
      <c r="M25" s="557">
        <v>1000</v>
      </c>
      <c r="N25" s="582"/>
      <c r="O25" s="549">
        <f>VLOOKUP(Table4[[#This Row],[Column2]],'Well P&amp;A Background'!$T$5:$V$7,3,FALSE)</f>
        <v>7000</v>
      </c>
      <c r="P25" s="550">
        <f>VLOOKUP(Table4[[#This Row],[Column2]],'Well P&amp;A Background'!$T$5:$V$7,2,FALSE)</f>
        <v>10</v>
      </c>
      <c r="Q25" s="558">
        <f t="shared" ca="1" si="2"/>
        <v>13.334246575342465</v>
      </c>
      <c r="R25" s="551" t="str">
        <f t="shared" ca="1" si="8"/>
        <v>0-25</v>
      </c>
      <c r="S25" s="552"/>
      <c r="T25" s="553"/>
      <c r="U25" s="557">
        <v>2</v>
      </c>
      <c r="V25" s="583"/>
      <c r="W25" s="559">
        <f ca="1">VLOOKUP(R25,'Well P&amp;A Background'!$T$20:$U$22,2,FALSE)</f>
        <v>0</v>
      </c>
      <c r="X25" s="554">
        <f>IF(M25&lt;1001,'Well P&amp;A Background'!$U$27,IF(AND(M25&gt;1000, M25&lt;3001),'Well P&amp;A Background'!$U$28, IF(AND(M25&gt;3000, M25&lt;5001),'Well P&amp;A Background'!$U$29,'Well P&amp;A Background'!$U$30)))</f>
        <v>0</v>
      </c>
      <c r="Y25" s="560">
        <f>IF(U25&lt;3,'Well P&amp;A Background'!$U$35,IF(AND(U25&gt;2, U25&lt;5),'Well P&amp;A Background'!$U$36,'Well P&amp;A Background'!$U$37))</f>
        <v>0</v>
      </c>
      <c r="Z25" s="555"/>
      <c r="AA25" s="618" t="s">
        <v>16</v>
      </c>
      <c r="AB25" s="619" t="s">
        <v>16</v>
      </c>
      <c r="AC25" s="619" t="s">
        <v>16</v>
      </c>
      <c r="AD25" s="620" t="s">
        <v>16</v>
      </c>
      <c r="AE25" s="586"/>
      <c r="AF25" s="619" t="s">
        <v>16</v>
      </c>
      <c r="AG25" s="619" t="s">
        <v>16</v>
      </c>
      <c r="AH25" s="619" t="s">
        <v>16</v>
      </c>
      <c r="AI25" s="620" t="s">
        <v>16</v>
      </c>
      <c r="AJ25" s="587"/>
      <c r="AK25" s="618" t="s">
        <v>16</v>
      </c>
      <c r="AL25" s="619"/>
      <c r="AM25" s="620" t="s">
        <v>16</v>
      </c>
      <c r="AN25" s="590"/>
      <c r="AO25" s="591">
        <f t="shared" ca="1" si="4"/>
        <v>0</v>
      </c>
      <c r="AP25" s="592">
        <f ca="1">VLOOKUP(AO25,'Well P&amp;A Background'!$B$15:$C$100,2)</f>
        <v>1</v>
      </c>
      <c r="AQ25" s="593">
        <f t="shared" ca="1" si="5"/>
        <v>10</v>
      </c>
      <c r="AR25" s="594">
        <f t="shared" ca="1" si="6"/>
        <v>70000</v>
      </c>
    </row>
    <row r="26" spans="1:44" s="386" customFormat="1" ht="14.15" customHeight="1" x14ac:dyDescent="0.35">
      <c r="A26" s="524"/>
      <c r="B26" s="607">
        <v>14</v>
      </c>
      <c r="C26" s="612" t="s">
        <v>389</v>
      </c>
      <c r="D26" s="612" t="e">
        <f>#REF!</f>
        <v>#REF!</v>
      </c>
      <c r="E26" s="613" t="s">
        <v>281</v>
      </c>
      <c r="F26" s="613" t="s">
        <v>282</v>
      </c>
      <c r="G26" s="612" t="s">
        <v>309</v>
      </c>
      <c r="H26" s="614" t="s">
        <v>310</v>
      </c>
      <c r="I26" s="615">
        <v>40273</v>
      </c>
      <c r="J26" s="615">
        <f t="shared" ca="1" si="7"/>
        <v>45140</v>
      </c>
      <c r="K26" s="616">
        <f t="shared" ca="1" si="0"/>
        <v>2023</v>
      </c>
      <c r="L26" s="617">
        <f t="shared" ca="1" si="1"/>
        <v>45140</v>
      </c>
      <c r="M26" s="557">
        <v>1000</v>
      </c>
      <c r="N26" s="582"/>
      <c r="O26" s="549">
        <f>VLOOKUP(Table4[[#This Row],[Column2]],'Well P&amp;A Background'!$T$5:$V$7,3,FALSE)</f>
        <v>12000</v>
      </c>
      <c r="P26" s="550">
        <f>VLOOKUP(Table4[[#This Row],[Column2]],'Well P&amp;A Background'!$T$5:$V$7,2,FALSE)</f>
        <v>8</v>
      </c>
      <c r="Q26" s="558">
        <f t="shared" ca="1" si="2"/>
        <v>13.334246575342465</v>
      </c>
      <c r="R26" s="551" t="str">
        <f t="shared" ca="1" si="8"/>
        <v>0-25</v>
      </c>
      <c r="S26" s="552"/>
      <c r="T26" s="553"/>
      <c r="U26" s="557">
        <v>2</v>
      </c>
      <c r="V26" s="583"/>
      <c r="W26" s="559">
        <f ca="1">VLOOKUP(R26,'Well P&amp;A Background'!$T$20:$U$22,2,FALSE)</f>
        <v>0</v>
      </c>
      <c r="X26" s="554">
        <f>IF(M26&lt;1001,'Well P&amp;A Background'!$U$27,IF(AND(M26&gt;1000, M26&lt;3001),'Well P&amp;A Background'!$U$28, IF(AND(M26&gt;3000, M26&lt;5001),'Well P&amp;A Background'!$U$29,'Well P&amp;A Background'!$U$30)))</f>
        <v>0</v>
      </c>
      <c r="Y26" s="560">
        <f>IF(U26&lt;3,'Well P&amp;A Background'!$U$35,IF(AND(U26&gt;2, U26&lt;5),'Well P&amp;A Background'!$U$36,'Well P&amp;A Background'!$U$37))</f>
        <v>0</v>
      </c>
      <c r="Z26" s="555"/>
      <c r="AA26" s="618" t="s">
        <v>16</v>
      </c>
      <c r="AB26" s="619" t="s">
        <v>16</v>
      </c>
      <c r="AC26" s="619" t="s">
        <v>16</v>
      </c>
      <c r="AD26" s="620" t="s">
        <v>16</v>
      </c>
      <c r="AE26" s="586"/>
      <c r="AF26" s="619" t="s">
        <v>16</v>
      </c>
      <c r="AG26" s="619" t="s">
        <v>16</v>
      </c>
      <c r="AH26" s="619" t="s">
        <v>16</v>
      </c>
      <c r="AI26" s="620" t="s">
        <v>16</v>
      </c>
      <c r="AJ26" s="587"/>
      <c r="AK26" s="618" t="s">
        <v>16</v>
      </c>
      <c r="AL26" s="619"/>
      <c r="AM26" s="620" t="s">
        <v>16</v>
      </c>
      <c r="AN26" s="590"/>
      <c r="AO26" s="591">
        <f t="shared" ca="1" si="4"/>
        <v>0</v>
      </c>
      <c r="AP26" s="592">
        <f ca="1">VLOOKUP(AO26,'Well P&amp;A Background'!$B$15:$C$100,2)</f>
        <v>1</v>
      </c>
      <c r="AQ26" s="593">
        <f t="shared" ca="1" si="5"/>
        <v>8</v>
      </c>
      <c r="AR26" s="594">
        <f t="shared" ca="1" si="6"/>
        <v>96000</v>
      </c>
    </row>
    <row r="27" spans="1:44" s="386" customFormat="1" ht="14.15" customHeight="1" x14ac:dyDescent="0.35">
      <c r="A27" s="524"/>
      <c r="B27" s="607">
        <v>15</v>
      </c>
      <c r="C27" s="612" t="s">
        <v>36</v>
      </c>
      <c r="D27" s="612" t="e">
        <f>#REF!</f>
        <v>#REF!</v>
      </c>
      <c r="E27" s="613" t="s">
        <v>281</v>
      </c>
      <c r="F27" s="613" t="s">
        <v>282</v>
      </c>
      <c r="G27" s="612" t="s">
        <v>311</v>
      </c>
      <c r="H27" s="614" t="s">
        <v>312</v>
      </c>
      <c r="I27" s="615">
        <v>40273</v>
      </c>
      <c r="J27" s="615">
        <f t="shared" ca="1" si="7"/>
        <v>45140</v>
      </c>
      <c r="K27" s="616">
        <f t="shared" ca="1" si="0"/>
        <v>2023</v>
      </c>
      <c r="L27" s="617">
        <f t="shared" ca="1" si="1"/>
        <v>45140</v>
      </c>
      <c r="M27" s="557">
        <v>1000</v>
      </c>
      <c r="N27" s="582"/>
      <c r="O27" s="549">
        <f>VLOOKUP(Table4[[#This Row],[Column2]],'Well P&amp;A Background'!$T$5:$V$7,3,FALSE)</f>
        <v>12500</v>
      </c>
      <c r="P27" s="550">
        <f>VLOOKUP(Table4[[#This Row],[Column2]],'Well P&amp;A Background'!$T$5:$V$7,2,FALSE)</f>
        <v>14</v>
      </c>
      <c r="Q27" s="558">
        <f t="shared" ca="1" si="2"/>
        <v>13.334246575342465</v>
      </c>
      <c r="R27" s="551" t="str">
        <f t="shared" ca="1" si="8"/>
        <v>0-25</v>
      </c>
      <c r="S27" s="552"/>
      <c r="T27" s="553"/>
      <c r="U27" s="557">
        <v>2</v>
      </c>
      <c r="V27" s="583"/>
      <c r="W27" s="559">
        <f ca="1">VLOOKUP(R27,'Well P&amp;A Background'!$T$20:$U$22,2,FALSE)</f>
        <v>0</v>
      </c>
      <c r="X27" s="554">
        <f>IF(M27&lt;1001,'Well P&amp;A Background'!$U$27,IF(AND(M27&gt;1000, M27&lt;3001),'Well P&amp;A Background'!$U$28, IF(AND(M27&gt;3000, M27&lt;5001),'Well P&amp;A Background'!$U$29,'Well P&amp;A Background'!$U$30)))</f>
        <v>0</v>
      </c>
      <c r="Y27" s="560">
        <f>IF(U27&lt;3,'Well P&amp;A Background'!$U$35,IF(AND(U27&gt;2, U27&lt;5),'Well P&amp;A Background'!$U$36,'Well P&amp;A Background'!$U$37))</f>
        <v>0</v>
      </c>
      <c r="Z27" s="555"/>
      <c r="AA27" s="618" t="s">
        <v>16</v>
      </c>
      <c r="AB27" s="619" t="s">
        <v>16</v>
      </c>
      <c r="AC27" s="619" t="s">
        <v>16</v>
      </c>
      <c r="AD27" s="620" t="s">
        <v>16</v>
      </c>
      <c r="AE27" s="586"/>
      <c r="AF27" s="619" t="s">
        <v>16</v>
      </c>
      <c r="AG27" s="619" t="s">
        <v>16</v>
      </c>
      <c r="AH27" s="619" t="s">
        <v>16</v>
      </c>
      <c r="AI27" s="620" t="s">
        <v>16</v>
      </c>
      <c r="AJ27" s="587"/>
      <c r="AK27" s="618" t="s">
        <v>16</v>
      </c>
      <c r="AL27" s="619"/>
      <c r="AM27" s="620" t="s">
        <v>16</v>
      </c>
      <c r="AN27" s="590"/>
      <c r="AO27" s="591">
        <f t="shared" ca="1" si="4"/>
        <v>0</v>
      </c>
      <c r="AP27" s="592">
        <f ca="1">VLOOKUP(AO27,'Well P&amp;A Background'!$B$15:$C$100,2)</f>
        <v>1</v>
      </c>
      <c r="AQ27" s="593">
        <f t="shared" ca="1" si="5"/>
        <v>14</v>
      </c>
      <c r="AR27" s="594">
        <f t="shared" ca="1" si="6"/>
        <v>175000</v>
      </c>
    </row>
    <row r="28" spans="1:44" s="386" customFormat="1" ht="14.15" customHeight="1" x14ac:dyDescent="0.35">
      <c r="A28" s="524"/>
      <c r="B28" s="607">
        <v>16</v>
      </c>
      <c r="C28" s="612" t="s">
        <v>319</v>
      </c>
      <c r="D28" s="612" t="e">
        <f>#REF!</f>
        <v>#REF!</v>
      </c>
      <c r="E28" s="613" t="s">
        <v>281</v>
      </c>
      <c r="F28" s="613" t="s">
        <v>282</v>
      </c>
      <c r="G28" s="612" t="s">
        <v>313</v>
      </c>
      <c r="H28" s="614" t="s">
        <v>314</v>
      </c>
      <c r="I28" s="615">
        <v>18265</v>
      </c>
      <c r="J28" s="615">
        <f t="shared" ca="1" si="7"/>
        <v>45140</v>
      </c>
      <c r="K28" s="616">
        <f t="shared" ref="K28:K29" ca="1" si="9">YEAR(L28)</f>
        <v>2023</v>
      </c>
      <c r="L28" s="617">
        <f t="shared" ref="L28:L29" ca="1" si="10">J28</f>
        <v>45140</v>
      </c>
      <c r="M28" s="557">
        <v>7000</v>
      </c>
      <c r="N28" s="582"/>
      <c r="O28" s="549">
        <f>VLOOKUP(Table4[[#This Row],[Column2]],'Well P&amp;A Background'!$T$5:$V$7,3,FALSE)</f>
        <v>7000</v>
      </c>
      <c r="P28" s="550">
        <f>VLOOKUP(Table4[[#This Row],[Column2]],'Well P&amp;A Background'!$T$5:$V$7,2,FALSE)</f>
        <v>10</v>
      </c>
      <c r="Q28" s="558">
        <f t="shared" ca="1" si="2"/>
        <v>73.630136986301366</v>
      </c>
      <c r="R28" s="551" t="str">
        <f ca="1">IF(Q28&gt;50,"50+",IF(AND(Q28&lt;50, Q28&gt;25),"25-50",IF(Q28&lt;25,"0-25")))</f>
        <v>50+</v>
      </c>
      <c r="S28" s="552"/>
      <c r="T28" s="553"/>
      <c r="U28" s="557">
        <v>5</v>
      </c>
      <c r="V28" s="583"/>
      <c r="W28" s="883">
        <f ca="1">VLOOKUP(R28,'Well P&amp;A Background'!$T$20:$U$22,2,FALSE)</f>
        <v>5</v>
      </c>
      <c r="X28" s="884">
        <f>IF(M28&lt;1001,'Well P&amp;A Background'!$U$27,IF(AND(M28&gt;1000, M28&lt;3001),'Well P&amp;A Background'!$U$28, IF(AND(M28&gt;3000, M28&lt;5001),'Well P&amp;A Background'!$U$29,'Well P&amp;A Background'!$U$30)))</f>
        <v>10</v>
      </c>
      <c r="Y28" s="885">
        <f>IF(U28&lt;3,'Well P&amp;A Background'!$U$35,IF(AND(U28&gt;2, U28&lt;5),'Well P&amp;A Background'!$U$36,'Well P&amp;A Background'!$U$37))</f>
        <v>8</v>
      </c>
      <c r="Z28" s="555"/>
      <c r="AA28" s="618" t="s">
        <v>17</v>
      </c>
      <c r="AB28" s="619" t="s">
        <v>17</v>
      </c>
      <c r="AC28" s="619" t="s">
        <v>17</v>
      </c>
      <c r="AD28" s="620" t="s">
        <v>17</v>
      </c>
      <c r="AE28" s="586"/>
      <c r="AF28" s="619" t="s">
        <v>17</v>
      </c>
      <c r="AG28" s="619" t="s">
        <v>17</v>
      </c>
      <c r="AH28" s="619" t="s">
        <v>17</v>
      </c>
      <c r="AI28" s="620" t="s">
        <v>17</v>
      </c>
      <c r="AJ28" s="516"/>
      <c r="AK28" s="618" t="s">
        <v>17</v>
      </c>
      <c r="AL28" s="619" t="s">
        <v>16</v>
      </c>
      <c r="AM28" s="620" t="s">
        <v>17</v>
      </c>
      <c r="AN28" s="590"/>
      <c r="AO28" s="591">
        <f ca="1">SUMIF(AA28:AM28,"Y",$AA$11:$AM$11)+SUM(W28:Y28)</f>
        <v>85</v>
      </c>
      <c r="AP28" s="592">
        <f ca="1">VLOOKUP(AO28,'Well P&amp;A Background'!$B$15:$C$100,2)</f>
        <v>2</v>
      </c>
      <c r="AQ28" s="593">
        <f t="shared" ca="1" si="5"/>
        <v>20</v>
      </c>
      <c r="AR28" s="594">
        <f t="shared" ca="1" si="6"/>
        <v>140000</v>
      </c>
    </row>
    <row r="29" spans="1:44" s="386" customFormat="1" ht="14.15" customHeight="1" x14ac:dyDescent="0.35">
      <c r="A29" s="524"/>
      <c r="B29" s="607">
        <v>17</v>
      </c>
      <c r="C29" s="612" t="s">
        <v>389</v>
      </c>
      <c r="D29" s="612" t="e">
        <f>#REF!</f>
        <v>#REF!</v>
      </c>
      <c r="E29" s="613" t="s">
        <v>281</v>
      </c>
      <c r="F29" s="613" t="s">
        <v>282</v>
      </c>
      <c r="G29" s="612" t="s">
        <v>391</v>
      </c>
      <c r="H29" s="614" t="s">
        <v>316</v>
      </c>
      <c r="I29" s="615">
        <v>18265</v>
      </c>
      <c r="J29" s="615">
        <f t="shared" ca="1" si="7"/>
        <v>45140</v>
      </c>
      <c r="K29" s="616">
        <f t="shared" ca="1" si="9"/>
        <v>2023</v>
      </c>
      <c r="L29" s="617">
        <f t="shared" ca="1" si="10"/>
        <v>45140</v>
      </c>
      <c r="M29" s="557">
        <v>7000</v>
      </c>
      <c r="N29" s="582"/>
      <c r="O29" s="549">
        <f>VLOOKUP(Table4[[#This Row],[Column2]],'Well P&amp;A Background'!$T$5:$V$7,3,FALSE)</f>
        <v>12000</v>
      </c>
      <c r="P29" s="550">
        <f>VLOOKUP(Table4[[#This Row],[Column2]],'Well P&amp;A Background'!$T$5:$V$7,2,FALSE)</f>
        <v>8</v>
      </c>
      <c r="Q29" s="558">
        <f t="shared" ca="1" si="2"/>
        <v>73.630136986301366</v>
      </c>
      <c r="R29" s="551" t="str">
        <f ca="1">IF(Q29&gt;50,"50+",IF(AND(Q29&lt;50, Q29&gt;25),"25-50",IF(Q29&lt;25,"0-25")))</f>
        <v>50+</v>
      </c>
      <c r="S29" s="552"/>
      <c r="T29" s="553"/>
      <c r="U29" s="557">
        <v>5</v>
      </c>
      <c r="V29" s="583"/>
      <c r="W29" s="883">
        <f ca="1">VLOOKUP(R29,'Well P&amp;A Background'!$T$20:$U$22,2,FALSE)</f>
        <v>5</v>
      </c>
      <c r="X29" s="884">
        <f>IF(M29&lt;1001,'Well P&amp;A Background'!$U$27,IF(AND(M29&gt;1000, M29&lt;3001),'Well P&amp;A Background'!$U$28, IF(AND(M29&gt;3000, M29&lt;5001),'Well P&amp;A Background'!$U$29,'Well P&amp;A Background'!$U$30)))</f>
        <v>10</v>
      </c>
      <c r="Y29" s="885">
        <f>IF(U29&lt;3,'Well P&amp;A Background'!$U$35,IF(AND(U29&gt;2, U29&lt;5),'Well P&amp;A Background'!$U$36,'Well P&amp;A Background'!$U$37))</f>
        <v>8</v>
      </c>
      <c r="Z29" s="555"/>
      <c r="AA29" s="618" t="s">
        <v>17</v>
      </c>
      <c r="AB29" s="619" t="s">
        <v>17</v>
      </c>
      <c r="AC29" s="619" t="s">
        <v>17</v>
      </c>
      <c r="AD29" s="620" t="s">
        <v>17</v>
      </c>
      <c r="AE29" s="586"/>
      <c r="AF29" s="619" t="s">
        <v>17</v>
      </c>
      <c r="AG29" s="619" t="s">
        <v>17</v>
      </c>
      <c r="AH29" s="619" t="s">
        <v>17</v>
      </c>
      <c r="AI29" s="620" t="s">
        <v>17</v>
      </c>
      <c r="AJ29" s="516"/>
      <c r="AK29" s="618" t="s">
        <v>17</v>
      </c>
      <c r="AL29" s="619" t="s">
        <v>16</v>
      </c>
      <c r="AM29" s="620" t="s">
        <v>17</v>
      </c>
      <c r="AN29" s="590"/>
      <c r="AO29" s="591">
        <f ca="1">SUMIF(AA29:AM29,"Y",$AA$11:$AM$11)+SUM(W29:Y29)</f>
        <v>85</v>
      </c>
      <c r="AP29" s="592">
        <f ca="1">VLOOKUP(AO29,'Well P&amp;A Background'!$B$15:$C$100,2)</f>
        <v>2</v>
      </c>
      <c r="AQ29" s="593">
        <f t="shared" ca="1" si="5"/>
        <v>16</v>
      </c>
      <c r="AR29" s="594">
        <f t="shared" ca="1" si="6"/>
        <v>192000</v>
      </c>
    </row>
    <row r="30" spans="1:44" s="386" customFormat="1" ht="14.15" customHeight="1" x14ac:dyDescent="0.35">
      <c r="A30" s="524"/>
      <c r="B30" s="607">
        <v>18</v>
      </c>
      <c r="C30" s="612" t="s">
        <v>36</v>
      </c>
      <c r="D30" s="612" t="e">
        <f>#REF!</f>
        <v>#REF!</v>
      </c>
      <c r="E30" s="613" t="s">
        <v>281</v>
      </c>
      <c r="F30" s="613" t="s">
        <v>282</v>
      </c>
      <c r="G30" s="612" t="s">
        <v>392</v>
      </c>
      <c r="H30" s="614" t="s">
        <v>317</v>
      </c>
      <c r="I30" s="615">
        <v>18265</v>
      </c>
      <c r="J30" s="615">
        <f t="shared" ca="1" si="7"/>
        <v>45140</v>
      </c>
      <c r="K30" s="616">
        <f t="shared" ca="1" si="0"/>
        <v>2023</v>
      </c>
      <c r="L30" s="617">
        <f t="shared" ca="1" si="1"/>
        <v>45140</v>
      </c>
      <c r="M30" s="557">
        <v>7000</v>
      </c>
      <c r="N30" s="582"/>
      <c r="O30" s="549">
        <f>VLOOKUP(Table4[[#This Row],[Column2]],'Well P&amp;A Background'!$T$5:$V$7,3,FALSE)</f>
        <v>12500</v>
      </c>
      <c r="P30" s="550">
        <f>VLOOKUP(Table4[[#This Row],[Column2]],'Well P&amp;A Background'!$T$5:$V$7,2,FALSE)</f>
        <v>14</v>
      </c>
      <c r="Q30" s="558">
        <f t="shared" ca="1" si="2"/>
        <v>73.630136986301366</v>
      </c>
      <c r="R30" s="551" t="str">
        <f t="shared" ref="R30" ca="1" si="11">IF(Q30&gt;50,"50+",IF(AND(Q30&lt;50, Q30&gt;25),"25-50",IF(Q30&lt;25,"0-25")))</f>
        <v>50+</v>
      </c>
      <c r="S30" s="552"/>
      <c r="T30" s="553"/>
      <c r="U30" s="557">
        <v>5</v>
      </c>
      <c r="V30" s="583"/>
      <c r="W30" s="559">
        <f ca="1">VLOOKUP(R30,'Well P&amp;A Background'!$T$20:$U$22,2,FALSE)</f>
        <v>5</v>
      </c>
      <c r="X30" s="554">
        <f>IF(M30&lt;1001,'Well P&amp;A Background'!$U$27,IF(AND(M30&gt;1000, M30&lt;3001),'Well P&amp;A Background'!$U$28, IF(AND(M30&gt;3000, M30&lt;5001),'Well P&amp;A Background'!$U$29,'Well P&amp;A Background'!$U$30)))</f>
        <v>10</v>
      </c>
      <c r="Y30" s="560">
        <f>IF(U30&lt;3,'Well P&amp;A Background'!$U$35,IF(AND(U30&gt;2, U30&lt;5),'Well P&amp;A Background'!$U$36,'Well P&amp;A Background'!$U$37))</f>
        <v>8</v>
      </c>
      <c r="Z30" s="555"/>
      <c r="AA30" s="618" t="s">
        <v>17</v>
      </c>
      <c r="AB30" s="619" t="s">
        <v>17</v>
      </c>
      <c r="AC30" s="619" t="s">
        <v>17</v>
      </c>
      <c r="AD30" s="620" t="s">
        <v>17</v>
      </c>
      <c r="AE30" s="586"/>
      <c r="AF30" s="619" t="s">
        <v>17</v>
      </c>
      <c r="AG30" s="619" t="s">
        <v>17</v>
      </c>
      <c r="AH30" s="619" t="s">
        <v>17</v>
      </c>
      <c r="AI30" s="620" t="s">
        <v>17</v>
      </c>
      <c r="AJ30" s="516"/>
      <c r="AK30" s="618" t="s">
        <v>17</v>
      </c>
      <c r="AL30" s="619" t="s">
        <v>16</v>
      </c>
      <c r="AM30" s="620" t="s">
        <v>17</v>
      </c>
      <c r="AN30" s="590"/>
      <c r="AO30" s="591">
        <f t="shared" ca="1" si="4"/>
        <v>85</v>
      </c>
      <c r="AP30" s="592">
        <f ca="1">VLOOKUP(AO30,'Well P&amp;A Background'!$B$15:$C$100,2)</f>
        <v>2</v>
      </c>
      <c r="AQ30" s="593">
        <f t="shared" ca="1" si="5"/>
        <v>28</v>
      </c>
      <c r="AR30" s="594">
        <f t="shared" ca="1" si="6"/>
        <v>350000</v>
      </c>
    </row>
    <row r="31" spans="1:44" s="329" customFormat="1" ht="15" customHeight="1" x14ac:dyDescent="0.35">
      <c r="A31" s="525"/>
      <c r="B31" s="526"/>
      <c r="C31" s="527"/>
      <c r="D31" s="527"/>
      <c r="E31" s="528"/>
      <c r="F31" s="529" t="s">
        <v>149</v>
      </c>
      <c r="G31" s="527"/>
      <c r="H31" s="527"/>
      <c r="I31" s="530"/>
      <c r="J31" s="530"/>
      <c r="K31" s="527"/>
      <c r="L31" s="531"/>
      <c r="M31" s="532"/>
      <c r="N31" s="497"/>
      <c r="O31" s="533"/>
      <c r="P31" s="534"/>
      <c r="Q31" s="535"/>
      <c r="R31" s="536"/>
      <c r="S31" s="537"/>
      <c r="T31" s="538"/>
      <c r="U31" s="539"/>
      <c r="V31" s="504"/>
      <c r="W31" s="540"/>
      <c r="X31" s="541"/>
      <c r="Y31" s="542"/>
      <c r="Z31" s="561"/>
      <c r="AA31" s="544"/>
      <c r="AB31" s="543"/>
      <c r="AC31" s="543"/>
      <c r="AD31" s="546"/>
      <c r="AE31" s="588"/>
      <c r="AF31" s="543"/>
      <c r="AG31" s="545" t="s">
        <v>336</v>
      </c>
      <c r="AH31" s="545"/>
      <c r="AI31" s="546"/>
      <c r="AJ31" s="588"/>
      <c r="AK31" s="544"/>
      <c r="AL31" s="543"/>
      <c r="AM31" s="546"/>
      <c r="AN31" s="571"/>
      <c r="AO31" s="581"/>
      <c r="AP31" s="547"/>
      <c r="AQ31" s="548"/>
      <c r="AR31" s="595"/>
    </row>
    <row r="32" spans="1:44" x14ac:dyDescent="0.35">
      <c r="B32" s="392"/>
      <c r="C32" s="393"/>
      <c r="D32" s="393"/>
      <c r="E32" s="394"/>
      <c r="F32" s="393"/>
      <c r="G32" s="393"/>
      <c r="H32" s="393"/>
      <c r="I32" s="395"/>
      <c r="J32" s="395"/>
      <c r="K32" s="393"/>
      <c r="L32" s="396"/>
      <c r="M32" s="397"/>
      <c r="N32" s="498"/>
      <c r="O32" s="398"/>
      <c r="P32" s="397"/>
      <c r="Q32" s="399"/>
      <c r="R32" s="400"/>
      <c r="S32" s="401"/>
      <c r="T32" s="402"/>
      <c r="U32" s="399"/>
      <c r="V32" s="491"/>
      <c r="W32" s="403"/>
      <c r="X32" s="403"/>
      <c r="Y32" s="403"/>
      <c r="Z32" s="562"/>
      <c r="AA32" s="402"/>
      <c r="AB32" s="402"/>
      <c r="AC32" s="402"/>
      <c r="AD32" s="402"/>
      <c r="AE32" s="563"/>
      <c r="AF32" s="402"/>
      <c r="AG32" s="402"/>
      <c r="AH32" s="402"/>
      <c r="AI32" s="402"/>
      <c r="AJ32" s="563"/>
      <c r="AK32" s="402"/>
      <c r="AL32" s="402"/>
      <c r="AM32" s="402"/>
      <c r="AN32" s="569"/>
      <c r="AO32" s="404"/>
      <c r="AP32" s="405"/>
      <c r="AQ32" s="406"/>
      <c r="AR32" s="860">
        <f ca="1">SUM(AR12:AR31)</f>
        <v>3145726</v>
      </c>
    </row>
    <row r="33" spans="2:74" s="369" customFormat="1" x14ac:dyDescent="0.35">
      <c r="C33" s="245"/>
      <c r="D33" s="245"/>
      <c r="E33" s="245"/>
      <c r="F33" s="245"/>
      <c r="G33" s="245"/>
      <c r="H33" s="245"/>
      <c r="I33" s="245"/>
      <c r="J33" s="245"/>
      <c r="K33" s="245"/>
      <c r="L33" s="245"/>
      <c r="M33" s="370"/>
      <c r="N33" s="372"/>
      <c r="O33" s="245"/>
      <c r="P33" s="370"/>
      <c r="Q33" s="370"/>
      <c r="R33" s="370"/>
      <c r="S33" s="245"/>
      <c r="T33" s="370"/>
      <c r="U33" s="370"/>
      <c r="V33" s="372"/>
      <c r="W33" s="370"/>
      <c r="X33" s="370"/>
      <c r="Y33" s="488"/>
      <c r="Z33" s="489"/>
      <c r="AA33" s="245"/>
      <c r="AB33" s="245"/>
      <c r="AC33" s="245"/>
      <c r="AD33" s="486"/>
      <c r="AE33" s="372"/>
      <c r="AF33" s="245"/>
      <c r="AG33" s="245"/>
      <c r="AH33" s="245"/>
      <c r="AI33" s="486"/>
      <c r="AJ33" s="372"/>
      <c r="AK33" s="245"/>
      <c r="AL33" s="245"/>
      <c r="AM33" s="486"/>
      <c r="AN33" s="409"/>
      <c r="AO33" s="373"/>
      <c r="AP33" s="373"/>
      <c r="AS33" s="245"/>
    </row>
    <row r="34" spans="2:74" s="369" customFormat="1" x14ac:dyDescent="0.35">
      <c r="B34" s="452" t="s">
        <v>127</v>
      </c>
      <c r="C34" s="387"/>
      <c r="D34" s="387"/>
      <c r="E34" s="387"/>
      <c r="F34" s="387"/>
      <c r="G34" s="387"/>
      <c r="H34" s="387"/>
      <c r="I34" s="387"/>
      <c r="J34" s="387"/>
      <c r="K34" s="387"/>
      <c r="L34" s="387"/>
      <c r="M34" s="388"/>
      <c r="N34" s="245"/>
      <c r="O34" s="245"/>
      <c r="P34" s="370"/>
      <c r="Q34" s="411" t="s">
        <v>251</v>
      </c>
      <c r="R34" s="410"/>
      <c r="S34" s="412"/>
      <c r="T34" s="410"/>
      <c r="U34" s="410"/>
      <c r="V34" s="412"/>
      <c r="W34" s="410"/>
      <c r="X34" s="410"/>
      <c r="Y34" s="487"/>
      <c r="Z34" s="490"/>
      <c r="AA34" s="412"/>
      <c r="AB34" s="129"/>
      <c r="AC34" s="129"/>
      <c r="AD34" s="372"/>
      <c r="AE34" s="372"/>
      <c r="AF34" s="245"/>
      <c r="AG34" s="245"/>
      <c r="AH34" s="245"/>
      <c r="AI34" s="372"/>
      <c r="AJ34" s="372"/>
      <c r="AK34" s="245"/>
      <c r="AL34" s="245"/>
      <c r="AM34" s="372"/>
      <c r="AN34" s="267"/>
      <c r="AO34" s="373"/>
      <c r="AP34" s="373"/>
      <c r="AS34" s="245"/>
    </row>
    <row r="35" spans="2:74" s="369" customFormat="1" x14ac:dyDescent="0.35">
      <c r="B35" s="889" t="s">
        <v>189</v>
      </c>
      <c r="C35" s="889"/>
      <c r="D35" s="889"/>
      <c r="E35" s="889"/>
      <c r="F35" s="889"/>
      <c r="G35" s="889"/>
      <c r="H35" s="889"/>
      <c r="I35" s="889"/>
      <c r="J35" s="889"/>
      <c r="K35" s="889"/>
      <c r="L35" s="889"/>
      <c r="M35" s="889"/>
      <c r="N35" s="245"/>
      <c r="O35" s="245"/>
      <c r="P35" s="370"/>
      <c r="Q35" s="370"/>
      <c r="R35" s="370"/>
      <c r="S35" s="245"/>
      <c r="T35" s="370"/>
      <c r="U35" s="370"/>
      <c r="V35" s="245"/>
      <c r="W35" s="370"/>
      <c r="X35" s="370"/>
      <c r="Y35" s="371"/>
      <c r="Z35" s="372"/>
      <c r="AA35" s="245"/>
      <c r="AB35" s="245"/>
      <c r="AC35" s="245"/>
      <c r="AD35" s="372"/>
      <c r="AE35" s="372"/>
      <c r="AF35" s="245"/>
      <c r="AG35" s="245"/>
      <c r="AH35" s="245"/>
      <c r="AI35" s="372"/>
      <c r="AJ35" s="372"/>
      <c r="AK35" s="245"/>
      <c r="AL35" s="245"/>
      <c r="AM35" s="372"/>
      <c r="AN35" s="267"/>
      <c r="AO35" s="373"/>
      <c r="AP35" s="373"/>
      <c r="AS35" s="245"/>
    </row>
    <row r="36" spans="2:74" s="369" customFormat="1" x14ac:dyDescent="0.35">
      <c r="B36" s="889"/>
      <c r="C36" s="889"/>
      <c r="D36" s="889"/>
      <c r="E36" s="889"/>
      <c r="F36" s="889"/>
      <c r="G36" s="889"/>
      <c r="H36" s="889"/>
      <c r="I36" s="889"/>
      <c r="J36" s="889"/>
      <c r="K36" s="889"/>
      <c r="L36" s="889"/>
      <c r="M36" s="889"/>
      <c r="N36" s="245"/>
      <c r="O36" s="245"/>
      <c r="P36" s="370"/>
      <c r="Q36" s="370"/>
      <c r="R36" s="370"/>
      <c r="S36" s="245"/>
      <c r="T36" s="370"/>
      <c r="U36" s="370"/>
      <c r="V36" s="245"/>
      <c r="W36" s="370"/>
      <c r="X36" s="370"/>
      <c r="Y36" s="371"/>
      <c r="Z36" s="372"/>
      <c r="AA36" s="245"/>
      <c r="AB36" s="245"/>
      <c r="AC36" s="245"/>
      <c r="AD36" s="372"/>
      <c r="AE36" s="372"/>
      <c r="AF36" s="245"/>
      <c r="AG36" s="245"/>
      <c r="AH36" s="245"/>
      <c r="AI36" s="372"/>
      <c r="AJ36" s="372"/>
      <c r="AK36" s="245"/>
      <c r="AL36" s="245"/>
      <c r="AM36" s="372"/>
      <c r="AN36" s="267"/>
      <c r="AO36" s="373"/>
      <c r="AP36" s="373"/>
      <c r="AS36" s="245"/>
      <c r="BV36" s="515"/>
    </row>
    <row r="37" spans="2:74" s="369" customFormat="1" x14ac:dyDescent="0.35">
      <c r="B37" s="889"/>
      <c r="C37" s="889"/>
      <c r="D37" s="889"/>
      <c r="E37" s="889"/>
      <c r="F37" s="889"/>
      <c r="G37" s="889"/>
      <c r="H37" s="889"/>
      <c r="I37" s="889"/>
      <c r="J37" s="889"/>
      <c r="K37" s="889"/>
      <c r="L37" s="889"/>
      <c r="M37" s="889"/>
      <c r="N37" s="245"/>
      <c r="O37" s="245"/>
      <c r="P37" s="370"/>
      <c r="Q37" s="370"/>
      <c r="R37" s="370"/>
      <c r="S37" s="245"/>
      <c r="T37" s="370"/>
      <c r="U37" s="370"/>
      <c r="V37" s="245"/>
      <c r="W37" s="371"/>
      <c r="X37" s="371"/>
      <c r="Y37" s="371"/>
      <c r="Z37" s="372"/>
      <c r="AA37" s="372"/>
      <c r="AB37" s="372"/>
      <c r="AC37" s="372"/>
      <c r="AD37" s="372"/>
      <c r="AE37" s="372"/>
      <c r="AF37" s="372"/>
      <c r="AG37" s="372"/>
      <c r="AH37" s="372"/>
      <c r="AI37" s="372"/>
      <c r="AJ37" s="372"/>
      <c r="AK37" s="372"/>
      <c r="AL37" s="372"/>
      <c r="AM37" s="372"/>
      <c r="AN37" s="267"/>
      <c r="AO37" s="373"/>
      <c r="AP37" s="373"/>
      <c r="AS37" s="245"/>
    </row>
    <row r="38" spans="2:74" s="369" customFormat="1" x14ac:dyDescent="0.35">
      <c r="B38" s="889"/>
      <c r="C38" s="889"/>
      <c r="D38" s="889"/>
      <c r="E38" s="889"/>
      <c r="F38" s="889"/>
      <c r="G38" s="889"/>
      <c r="H38" s="889"/>
      <c r="I38" s="889"/>
      <c r="J38" s="889"/>
      <c r="K38" s="889"/>
      <c r="L38" s="889"/>
      <c r="M38" s="889"/>
      <c r="N38" s="245"/>
      <c r="O38" s="245"/>
      <c r="P38" s="370"/>
      <c r="Q38" s="370"/>
      <c r="R38" s="370"/>
      <c r="S38" s="245"/>
      <c r="T38" s="370"/>
      <c r="U38" s="370"/>
      <c r="V38" s="245"/>
      <c r="W38" s="371"/>
      <c r="X38" s="371"/>
      <c r="Y38" s="371"/>
      <c r="Z38" s="372"/>
      <c r="AA38" s="372"/>
      <c r="AB38" s="372"/>
      <c r="AC38" s="372"/>
      <c r="AD38" s="372"/>
      <c r="AE38" s="372"/>
      <c r="AF38" s="372"/>
      <c r="AG38" s="372"/>
      <c r="AH38" s="372"/>
      <c r="AI38" s="372"/>
      <c r="AJ38" s="372"/>
      <c r="AK38" s="372"/>
      <c r="AL38" s="372"/>
      <c r="AM38" s="372"/>
      <c r="AN38" s="267"/>
      <c r="AO38" s="373"/>
      <c r="AP38" s="373"/>
      <c r="AS38" s="245"/>
    </row>
    <row r="39" spans="2:74" s="369" customFormat="1" x14ac:dyDescent="0.35">
      <c r="B39" s="889"/>
      <c r="C39" s="889"/>
      <c r="D39" s="889"/>
      <c r="E39" s="889"/>
      <c r="F39" s="889"/>
      <c r="G39" s="889"/>
      <c r="H39" s="889"/>
      <c r="I39" s="889"/>
      <c r="J39" s="889"/>
      <c r="K39" s="889"/>
      <c r="L39" s="889"/>
      <c r="M39" s="889"/>
      <c r="N39" s="245"/>
      <c r="O39" s="245"/>
      <c r="P39" s="370"/>
      <c r="Q39" s="370"/>
      <c r="R39" s="370"/>
      <c r="S39" s="245"/>
      <c r="T39" s="370"/>
      <c r="U39" s="370"/>
      <c r="V39" s="245"/>
      <c r="W39" s="371"/>
      <c r="X39" s="371"/>
      <c r="Y39" s="371"/>
      <c r="Z39" s="372"/>
      <c r="AA39" s="372"/>
      <c r="AB39" s="372"/>
      <c r="AC39" s="372"/>
      <c r="AD39" s="372"/>
      <c r="AE39" s="372"/>
      <c r="AF39" s="372"/>
      <c r="AG39" s="372"/>
      <c r="AH39" s="372"/>
      <c r="AI39" s="372"/>
      <c r="AJ39" s="372"/>
      <c r="AK39" s="372"/>
      <c r="AL39" s="372"/>
      <c r="AM39" s="372"/>
      <c r="AN39" s="267"/>
      <c r="AO39" s="373"/>
      <c r="AP39" s="373"/>
      <c r="AS39" s="245"/>
    </row>
    <row r="40" spans="2:74" s="369" customFormat="1" x14ac:dyDescent="0.35">
      <c r="B40" s="889"/>
      <c r="C40" s="889"/>
      <c r="D40" s="889"/>
      <c r="E40" s="889"/>
      <c r="F40" s="889"/>
      <c r="G40" s="889"/>
      <c r="H40" s="889"/>
      <c r="I40" s="889"/>
      <c r="J40" s="889"/>
      <c r="K40" s="889"/>
      <c r="L40" s="889"/>
      <c r="M40" s="889"/>
      <c r="N40" s="245"/>
      <c r="O40" s="245"/>
      <c r="P40" s="370"/>
      <c r="Q40" s="370"/>
      <c r="R40" s="370"/>
      <c r="S40" s="245"/>
      <c r="T40" s="370"/>
      <c r="U40" s="370"/>
      <c r="V40" s="245"/>
      <c r="W40" s="371"/>
      <c r="X40" s="371"/>
      <c r="Y40" s="371"/>
      <c r="Z40" s="372"/>
      <c r="AA40" s="372"/>
      <c r="AB40" s="372"/>
      <c r="AC40" s="372"/>
      <c r="AD40" s="372"/>
      <c r="AE40" s="372"/>
      <c r="AF40" s="372"/>
      <c r="AG40" s="372"/>
      <c r="AH40" s="372"/>
      <c r="AI40" s="372"/>
      <c r="AJ40" s="372"/>
      <c r="AK40" s="372"/>
      <c r="AL40" s="372"/>
      <c r="AM40" s="372"/>
      <c r="AN40" s="267"/>
      <c r="AO40" s="373"/>
      <c r="AP40" s="373"/>
      <c r="AS40" s="245"/>
    </row>
    <row r="41" spans="2:74" s="369" customFormat="1" x14ac:dyDescent="0.35">
      <c r="B41" s="889"/>
      <c r="C41" s="889"/>
      <c r="D41" s="889"/>
      <c r="E41" s="889"/>
      <c r="F41" s="889"/>
      <c r="G41" s="889"/>
      <c r="H41" s="889"/>
      <c r="I41" s="889"/>
      <c r="J41" s="889"/>
      <c r="K41" s="889"/>
      <c r="L41" s="889"/>
      <c r="M41" s="889"/>
      <c r="N41" s="245"/>
      <c r="O41" s="245"/>
      <c r="P41" s="370"/>
      <c r="Q41" s="370"/>
      <c r="R41" s="370"/>
      <c r="S41" s="245"/>
      <c r="T41" s="370"/>
      <c r="U41" s="370"/>
      <c r="V41" s="245"/>
      <c r="W41" s="371"/>
      <c r="X41" s="371"/>
      <c r="Y41" s="371"/>
      <c r="Z41" s="372"/>
      <c r="AA41" s="372"/>
      <c r="AB41" s="372"/>
      <c r="AC41" s="372"/>
      <c r="AD41" s="372"/>
      <c r="AE41" s="372"/>
      <c r="AF41" s="372"/>
      <c r="AG41" s="372"/>
      <c r="AH41" s="372"/>
      <c r="AI41" s="372"/>
      <c r="AJ41" s="372"/>
      <c r="AK41" s="372"/>
      <c r="AL41" s="372"/>
      <c r="AM41" s="372"/>
      <c r="AN41" s="267"/>
      <c r="AO41" s="373"/>
      <c r="AP41" s="373"/>
      <c r="AS41" s="245"/>
    </row>
    <row r="42" spans="2:74" x14ac:dyDescent="0.35">
      <c r="W42" s="371"/>
      <c r="X42" s="371"/>
      <c r="Y42" s="371"/>
      <c r="Z42" s="372"/>
      <c r="AA42" s="372"/>
      <c r="AB42" s="372"/>
      <c r="AC42" s="372"/>
      <c r="AD42" s="372"/>
      <c r="AE42" s="372"/>
      <c r="AF42" s="372"/>
      <c r="AG42" s="372"/>
      <c r="AH42" s="372"/>
      <c r="AI42" s="372"/>
      <c r="AJ42" s="372"/>
      <c r="AK42" s="372"/>
      <c r="AL42" s="372"/>
      <c r="AM42" s="372"/>
      <c r="AN42" s="267"/>
    </row>
    <row r="43" spans="2:74" x14ac:dyDescent="0.35">
      <c r="W43" s="371"/>
      <c r="X43" s="371"/>
      <c r="Y43" s="371"/>
      <c r="Z43" s="372"/>
      <c r="AA43" s="372"/>
      <c r="AB43" s="372"/>
      <c r="AC43" s="372"/>
      <c r="AD43" s="372"/>
      <c r="AE43" s="372"/>
      <c r="AF43" s="372"/>
      <c r="AG43" s="372"/>
      <c r="AH43" s="372"/>
      <c r="AI43" s="372"/>
      <c r="AJ43" s="372"/>
      <c r="AK43" s="372"/>
      <c r="AL43" s="372"/>
      <c r="AM43" s="372"/>
    </row>
    <row r="44" spans="2:74" x14ac:dyDescent="0.35">
      <c r="W44" s="371"/>
      <c r="X44" s="371"/>
      <c r="Y44" s="371"/>
      <c r="Z44" s="372"/>
      <c r="AA44" s="372"/>
      <c r="AB44" s="372"/>
      <c r="AC44" s="372"/>
      <c r="AD44" s="372"/>
      <c r="AE44" s="372"/>
      <c r="AF44" s="372"/>
      <c r="AG44" s="372"/>
      <c r="AH44" s="372"/>
      <c r="AI44" s="372"/>
      <c r="AJ44" s="372"/>
      <c r="AK44" s="372"/>
      <c r="AL44" s="372"/>
      <c r="AM44" s="372"/>
    </row>
    <row r="45" spans="2:74" x14ac:dyDescent="0.35">
      <c r="W45" s="371"/>
      <c r="X45" s="371"/>
      <c r="Y45" s="371"/>
      <c r="Z45" s="372"/>
      <c r="AA45" s="372"/>
      <c r="AB45" s="372"/>
      <c r="AC45" s="372"/>
      <c r="AD45" s="372"/>
      <c r="AE45" s="372"/>
      <c r="AF45" s="372"/>
      <c r="AG45" s="372"/>
      <c r="AH45" s="372"/>
      <c r="AI45" s="372"/>
      <c r="AJ45" s="372"/>
      <c r="AK45" s="372"/>
      <c r="AL45" s="372"/>
      <c r="AM45" s="372"/>
    </row>
    <row r="46" spans="2:74" x14ac:dyDescent="0.35">
      <c r="W46" s="371"/>
      <c r="X46" s="371"/>
      <c r="Y46" s="371"/>
      <c r="Z46" s="372"/>
      <c r="AA46" s="372"/>
      <c r="AB46" s="372"/>
      <c r="AC46" s="372"/>
      <c r="AD46" s="372"/>
      <c r="AE46" s="372"/>
      <c r="AF46" s="372"/>
      <c r="AG46" s="372"/>
      <c r="AH46" s="372"/>
      <c r="AI46" s="372"/>
      <c r="AJ46" s="372"/>
      <c r="AK46" s="372"/>
      <c r="AL46" s="372"/>
      <c r="AM46" s="372"/>
    </row>
    <row r="47" spans="2:74" x14ac:dyDescent="0.35">
      <c r="W47" s="371"/>
      <c r="X47" s="371"/>
      <c r="Y47" s="371"/>
      <c r="Z47" s="372"/>
      <c r="AA47" s="372"/>
      <c r="AB47" s="372"/>
      <c r="AC47" s="372"/>
      <c r="AD47" s="372"/>
      <c r="AE47" s="372"/>
      <c r="AF47" s="372"/>
      <c r="AG47" s="372"/>
      <c r="AH47" s="372"/>
      <c r="AI47" s="372"/>
      <c r="AJ47" s="372"/>
      <c r="AK47" s="372"/>
      <c r="AL47" s="372"/>
      <c r="AM47" s="372"/>
    </row>
    <row r="48" spans="2:74" x14ac:dyDescent="0.35">
      <c r="W48" s="371"/>
      <c r="X48" s="371"/>
      <c r="Y48" s="371"/>
      <c r="Z48" s="372"/>
      <c r="AA48" s="372"/>
      <c r="AB48" s="372"/>
      <c r="AC48" s="372"/>
      <c r="AD48" s="372"/>
      <c r="AE48" s="372"/>
      <c r="AF48" s="372"/>
      <c r="AG48" s="372"/>
      <c r="AH48" s="372"/>
      <c r="AI48" s="372"/>
      <c r="AJ48" s="372"/>
      <c r="AK48" s="372"/>
      <c r="AL48" s="372"/>
      <c r="AM48" s="372"/>
    </row>
    <row r="49" spans="23:39" x14ac:dyDescent="0.35">
      <c r="W49" s="371"/>
      <c r="X49" s="371"/>
      <c r="Y49" s="371"/>
      <c r="Z49" s="372"/>
      <c r="AA49" s="372"/>
      <c r="AB49" s="372"/>
      <c r="AC49" s="372"/>
      <c r="AD49" s="372"/>
      <c r="AE49" s="372"/>
      <c r="AF49" s="372"/>
      <c r="AG49" s="372"/>
      <c r="AH49" s="372"/>
      <c r="AI49" s="372"/>
      <c r="AJ49" s="372"/>
      <c r="AK49" s="372"/>
      <c r="AL49" s="372"/>
      <c r="AM49" s="372"/>
    </row>
    <row r="50" spans="23:39" x14ac:dyDescent="0.35">
      <c r="W50" s="371"/>
      <c r="X50" s="371"/>
      <c r="Y50" s="371"/>
      <c r="Z50" s="372"/>
      <c r="AA50" s="372"/>
      <c r="AB50" s="372"/>
      <c r="AC50" s="372"/>
      <c r="AD50" s="372"/>
      <c r="AE50" s="372"/>
      <c r="AF50" s="372"/>
      <c r="AG50" s="372"/>
      <c r="AH50" s="372"/>
      <c r="AI50" s="372"/>
      <c r="AJ50" s="372"/>
      <c r="AK50" s="372"/>
      <c r="AL50" s="372"/>
      <c r="AM50" s="372"/>
    </row>
    <row r="51" spans="23:39" x14ac:dyDescent="0.35">
      <c r="W51" s="371"/>
      <c r="X51" s="371"/>
      <c r="Y51" s="371"/>
      <c r="Z51" s="372"/>
      <c r="AA51" s="372"/>
      <c r="AB51" s="372"/>
      <c r="AC51" s="372"/>
      <c r="AD51" s="372"/>
      <c r="AE51" s="372"/>
      <c r="AF51" s="372"/>
      <c r="AG51" s="372"/>
      <c r="AH51" s="372"/>
      <c r="AI51" s="372"/>
      <c r="AJ51" s="372"/>
      <c r="AK51" s="372"/>
      <c r="AL51" s="372"/>
      <c r="AM51" s="372"/>
    </row>
    <row r="52" spans="23:39" x14ac:dyDescent="0.35">
      <c r="W52" s="371"/>
      <c r="X52" s="371"/>
      <c r="Y52" s="371"/>
      <c r="Z52" s="372"/>
      <c r="AA52" s="372"/>
      <c r="AB52" s="372"/>
      <c r="AC52" s="372"/>
      <c r="AD52" s="372"/>
      <c r="AE52" s="372"/>
      <c r="AF52" s="372"/>
      <c r="AG52" s="372"/>
      <c r="AH52" s="372"/>
      <c r="AI52" s="372"/>
      <c r="AJ52" s="372"/>
      <c r="AK52" s="372"/>
      <c r="AL52" s="372"/>
      <c r="AM52" s="372"/>
    </row>
    <row r="53" spans="23:39" x14ac:dyDescent="0.35">
      <c r="W53" s="371"/>
      <c r="X53" s="371"/>
      <c r="Y53" s="371"/>
      <c r="Z53" s="372"/>
      <c r="AA53" s="372"/>
      <c r="AB53" s="372"/>
      <c r="AC53" s="372"/>
      <c r="AD53" s="372"/>
      <c r="AE53" s="372"/>
      <c r="AF53" s="372"/>
      <c r="AG53" s="372"/>
      <c r="AH53" s="372"/>
      <c r="AI53" s="372"/>
      <c r="AJ53" s="372"/>
      <c r="AK53" s="372"/>
      <c r="AL53" s="372"/>
      <c r="AM53" s="372"/>
    </row>
    <row r="54" spans="23:39" x14ac:dyDescent="0.35">
      <c r="W54" s="371"/>
      <c r="X54" s="371"/>
      <c r="Y54" s="371"/>
      <c r="Z54" s="372"/>
      <c r="AA54" s="372"/>
      <c r="AB54" s="372"/>
      <c r="AC54" s="372"/>
      <c r="AD54" s="372"/>
      <c r="AE54" s="372"/>
      <c r="AF54" s="372"/>
      <c r="AG54" s="372"/>
      <c r="AH54" s="372"/>
      <c r="AI54" s="372"/>
      <c r="AJ54" s="372"/>
      <c r="AK54" s="372"/>
      <c r="AL54" s="372"/>
      <c r="AM54" s="372"/>
    </row>
    <row r="55" spans="23:39" x14ac:dyDescent="0.35">
      <c r="W55" s="371"/>
      <c r="X55" s="371"/>
      <c r="Y55" s="371"/>
      <c r="Z55" s="372"/>
      <c r="AA55" s="372"/>
      <c r="AB55" s="372"/>
      <c r="AC55" s="372"/>
      <c r="AD55" s="372"/>
      <c r="AE55" s="372"/>
      <c r="AF55" s="372"/>
      <c r="AG55" s="372"/>
      <c r="AH55" s="372"/>
      <c r="AI55" s="372"/>
      <c r="AJ55" s="372"/>
      <c r="AK55" s="372"/>
      <c r="AL55" s="372"/>
      <c r="AM55" s="372"/>
    </row>
    <row r="56" spans="23:39" x14ac:dyDescent="0.35">
      <c r="W56" s="371"/>
      <c r="X56" s="371"/>
      <c r="Y56" s="371"/>
      <c r="Z56" s="372"/>
      <c r="AA56" s="372"/>
      <c r="AB56" s="372"/>
      <c r="AC56" s="372"/>
      <c r="AD56" s="372"/>
      <c r="AE56" s="372"/>
      <c r="AF56" s="372"/>
      <c r="AG56" s="372"/>
      <c r="AH56" s="372"/>
      <c r="AI56" s="372"/>
      <c r="AJ56" s="372"/>
      <c r="AK56" s="372"/>
      <c r="AL56" s="372"/>
      <c r="AM56" s="372"/>
    </row>
    <row r="57" spans="23:39" x14ac:dyDescent="0.35">
      <c r="W57" s="371"/>
      <c r="X57" s="371"/>
      <c r="Y57" s="371"/>
      <c r="Z57" s="372"/>
      <c r="AA57" s="372"/>
      <c r="AB57" s="372"/>
      <c r="AC57" s="372"/>
      <c r="AD57" s="372"/>
      <c r="AE57" s="372"/>
      <c r="AF57" s="372"/>
      <c r="AG57" s="372"/>
      <c r="AH57" s="372"/>
      <c r="AI57" s="372"/>
      <c r="AJ57" s="372"/>
      <c r="AK57" s="372"/>
      <c r="AL57" s="372"/>
      <c r="AM57" s="372"/>
    </row>
    <row r="58" spans="23:39" x14ac:dyDescent="0.35">
      <c r="W58" s="371"/>
      <c r="X58" s="371"/>
      <c r="Y58" s="371"/>
      <c r="Z58" s="372"/>
      <c r="AA58" s="372"/>
      <c r="AB58" s="372"/>
      <c r="AC58" s="372"/>
      <c r="AD58" s="372"/>
      <c r="AE58" s="372"/>
      <c r="AF58" s="372"/>
      <c r="AG58" s="372"/>
      <c r="AH58" s="372"/>
      <c r="AI58" s="372"/>
      <c r="AJ58" s="372"/>
      <c r="AK58" s="372"/>
      <c r="AL58" s="372"/>
      <c r="AM58" s="372"/>
    </row>
    <row r="59" spans="23:39" x14ac:dyDescent="0.35">
      <c r="W59" s="371"/>
      <c r="X59" s="371"/>
      <c r="Y59" s="371"/>
      <c r="Z59" s="372"/>
      <c r="AA59" s="372"/>
      <c r="AB59" s="372"/>
      <c r="AC59" s="372"/>
      <c r="AD59" s="372"/>
      <c r="AE59" s="372"/>
      <c r="AF59" s="372"/>
      <c r="AG59" s="372"/>
      <c r="AH59" s="372"/>
      <c r="AI59" s="372"/>
      <c r="AJ59" s="372"/>
      <c r="AK59" s="372"/>
      <c r="AL59" s="372"/>
      <c r="AM59" s="372"/>
    </row>
    <row r="60" spans="23:39" x14ac:dyDescent="0.35">
      <c r="W60" s="371"/>
      <c r="X60" s="371"/>
      <c r="Y60" s="371"/>
      <c r="Z60" s="372"/>
      <c r="AA60" s="372"/>
      <c r="AB60" s="372"/>
      <c r="AC60" s="372"/>
      <c r="AD60" s="372"/>
      <c r="AE60" s="372"/>
      <c r="AF60" s="372"/>
      <c r="AG60" s="372"/>
      <c r="AH60" s="372"/>
      <c r="AI60" s="372"/>
      <c r="AJ60" s="372"/>
      <c r="AK60" s="372"/>
      <c r="AL60" s="372"/>
      <c r="AM60" s="372"/>
    </row>
    <row r="61" spans="23:39" x14ac:dyDescent="0.35">
      <c r="W61" s="371"/>
      <c r="X61" s="371"/>
      <c r="Y61" s="371"/>
      <c r="Z61" s="372"/>
      <c r="AA61" s="372"/>
      <c r="AB61" s="372"/>
      <c r="AC61" s="372"/>
      <c r="AD61" s="372"/>
      <c r="AE61" s="372"/>
      <c r="AF61" s="372"/>
      <c r="AG61" s="372"/>
      <c r="AH61" s="372"/>
      <c r="AI61" s="372"/>
      <c r="AJ61" s="372"/>
      <c r="AK61" s="372"/>
      <c r="AL61" s="372"/>
      <c r="AM61" s="372"/>
    </row>
    <row r="62" spans="23:39" x14ac:dyDescent="0.35">
      <c r="W62" s="371"/>
      <c r="X62" s="371"/>
      <c r="Y62" s="371"/>
      <c r="Z62" s="372"/>
      <c r="AA62" s="372"/>
      <c r="AB62" s="372"/>
      <c r="AC62" s="372"/>
      <c r="AD62" s="372"/>
      <c r="AE62" s="372"/>
      <c r="AF62" s="372"/>
      <c r="AG62" s="372"/>
      <c r="AH62" s="372"/>
      <c r="AI62" s="372"/>
      <c r="AJ62" s="372"/>
      <c r="AK62" s="372"/>
      <c r="AL62" s="372"/>
      <c r="AM62" s="372"/>
    </row>
    <row r="63" spans="23:39" x14ac:dyDescent="0.35">
      <c r="W63" s="371"/>
      <c r="X63" s="371"/>
      <c r="Y63" s="371"/>
      <c r="Z63" s="372"/>
      <c r="AA63" s="372"/>
      <c r="AB63" s="372"/>
      <c r="AC63" s="372"/>
      <c r="AD63" s="372"/>
      <c r="AE63" s="372"/>
      <c r="AF63" s="372"/>
      <c r="AG63" s="372"/>
      <c r="AH63" s="372"/>
      <c r="AI63" s="372"/>
      <c r="AJ63" s="372"/>
      <c r="AK63" s="372"/>
      <c r="AL63" s="372"/>
      <c r="AM63" s="372"/>
    </row>
    <row r="64" spans="23:39" x14ac:dyDescent="0.35">
      <c r="W64" s="371"/>
      <c r="X64" s="371"/>
      <c r="Y64" s="371"/>
      <c r="Z64" s="372"/>
      <c r="AA64" s="372"/>
      <c r="AB64" s="372"/>
      <c r="AC64" s="372"/>
      <c r="AD64" s="372"/>
      <c r="AE64" s="372"/>
      <c r="AF64" s="372"/>
      <c r="AG64" s="372"/>
      <c r="AH64" s="372"/>
      <c r="AI64" s="372"/>
      <c r="AJ64" s="372"/>
      <c r="AK64" s="372"/>
      <c r="AL64" s="372"/>
      <c r="AM64" s="372"/>
    </row>
    <row r="65" spans="23:39" x14ac:dyDescent="0.35">
      <c r="W65" s="371"/>
      <c r="X65" s="371"/>
      <c r="Y65" s="371"/>
      <c r="Z65" s="372"/>
      <c r="AA65" s="372"/>
      <c r="AB65" s="372"/>
      <c r="AC65" s="372"/>
      <c r="AD65" s="372"/>
      <c r="AE65" s="372"/>
      <c r="AF65" s="372"/>
      <c r="AG65" s="372"/>
      <c r="AH65" s="372"/>
      <c r="AI65" s="372"/>
      <c r="AJ65" s="372"/>
      <c r="AK65" s="372"/>
      <c r="AL65" s="372"/>
      <c r="AM65" s="372"/>
    </row>
    <row r="66" spans="23:39" x14ac:dyDescent="0.35">
      <c r="W66" s="371"/>
      <c r="X66" s="371"/>
      <c r="Y66" s="371"/>
      <c r="Z66" s="372"/>
      <c r="AA66" s="372"/>
      <c r="AB66" s="372"/>
      <c r="AC66" s="372"/>
      <c r="AD66" s="372"/>
      <c r="AE66" s="372"/>
      <c r="AF66" s="372"/>
      <c r="AG66" s="372"/>
      <c r="AH66" s="372"/>
      <c r="AI66" s="372"/>
      <c r="AJ66" s="372"/>
      <c r="AK66" s="372"/>
      <c r="AL66" s="372"/>
      <c r="AM66" s="372"/>
    </row>
    <row r="67" spans="23:39" x14ac:dyDescent="0.35">
      <c r="W67" s="371"/>
      <c r="X67" s="371"/>
      <c r="Y67" s="371"/>
      <c r="Z67" s="372"/>
      <c r="AA67" s="372"/>
      <c r="AB67" s="372"/>
      <c r="AC67" s="372"/>
      <c r="AD67" s="372"/>
      <c r="AE67" s="372"/>
      <c r="AF67" s="372"/>
      <c r="AG67" s="372"/>
      <c r="AH67" s="372"/>
      <c r="AI67" s="372"/>
      <c r="AJ67" s="372"/>
      <c r="AK67" s="372"/>
      <c r="AL67" s="372"/>
      <c r="AM67" s="372"/>
    </row>
    <row r="68" spans="23:39" x14ac:dyDescent="0.35">
      <c r="W68" s="371"/>
      <c r="X68" s="371"/>
      <c r="Y68" s="371"/>
      <c r="Z68" s="372"/>
      <c r="AA68" s="372"/>
      <c r="AB68" s="372"/>
      <c r="AC68" s="372"/>
      <c r="AD68" s="372"/>
      <c r="AE68" s="372"/>
      <c r="AF68" s="372"/>
      <c r="AG68" s="372"/>
      <c r="AH68" s="372"/>
      <c r="AI68" s="372"/>
      <c r="AJ68" s="372"/>
      <c r="AK68" s="372"/>
      <c r="AL68" s="372"/>
      <c r="AM68" s="372"/>
    </row>
    <row r="69" spans="23:39" x14ac:dyDescent="0.35">
      <c r="W69" s="371"/>
      <c r="X69" s="371"/>
      <c r="Y69" s="371"/>
      <c r="Z69" s="372"/>
      <c r="AA69" s="372"/>
      <c r="AB69" s="372"/>
      <c r="AC69" s="372"/>
      <c r="AD69" s="372"/>
      <c r="AE69" s="372"/>
      <c r="AF69" s="372"/>
      <c r="AG69" s="372"/>
      <c r="AH69" s="372"/>
      <c r="AI69" s="372"/>
      <c r="AJ69" s="372"/>
      <c r="AK69" s="372"/>
      <c r="AL69" s="372"/>
      <c r="AM69" s="372"/>
    </row>
    <row r="70" spans="23:39" x14ac:dyDescent="0.35">
      <c r="W70" s="371"/>
      <c r="X70" s="371"/>
      <c r="Y70" s="371"/>
      <c r="Z70" s="372"/>
      <c r="AA70" s="372"/>
      <c r="AB70" s="372"/>
      <c r="AC70" s="372"/>
      <c r="AD70" s="372"/>
      <c r="AE70" s="372"/>
      <c r="AF70" s="372"/>
      <c r="AG70" s="372"/>
      <c r="AH70" s="372"/>
      <c r="AI70" s="372"/>
      <c r="AJ70" s="372"/>
      <c r="AK70" s="372"/>
      <c r="AL70" s="372"/>
      <c r="AM70" s="372"/>
    </row>
    <row r="71" spans="23:39" x14ac:dyDescent="0.35">
      <c r="W71" s="371"/>
      <c r="X71" s="371"/>
      <c r="Y71" s="371"/>
      <c r="Z71" s="372"/>
      <c r="AA71" s="372"/>
      <c r="AB71" s="372"/>
      <c r="AC71" s="372"/>
      <c r="AD71" s="372"/>
      <c r="AE71" s="372"/>
      <c r="AF71" s="372"/>
      <c r="AG71" s="372"/>
      <c r="AH71" s="372"/>
      <c r="AI71" s="372"/>
      <c r="AJ71" s="372"/>
      <c r="AK71" s="372"/>
      <c r="AL71" s="372"/>
      <c r="AM71" s="372"/>
    </row>
    <row r="72" spans="23:39" x14ac:dyDescent="0.35">
      <c r="W72" s="371"/>
      <c r="X72" s="371"/>
      <c r="Y72" s="371"/>
      <c r="Z72" s="372"/>
      <c r="AA72" s="372"/>
      <c r="AB72" s="372"/>
      <c r="AC72" s="372"/>
      <c r="AD72" s="372"/>
      <c r="AE72" s="372"/>
      <c r="AF72" s="372"/>
      <c r="AG72" s="372"/>
      <c r="AH72" s="372"/>
      <c r="AI72" s="372"/>
      <c r="AJ72" s="372"/>
      <c r="AK72" s="372"/>
      <c r="AL72" s="372"/>
      <c r="AM72" s="372"/>
    </row>
    <row r="73" spans="23:39" x14ac:dyDescent="0.35">
      <c r="W73" s="371"/>
      <c r="X73" s="371"/>
      <c r="Y73" s="371"/>
      <c r="Z73" s="372"/>
      <c r="AA73" s="372"/>
      <c r="AB73" s="372"/>
      <c r="AC73" s="372"/>
      <c r="AD73" s="372"/>
      <c r="AE73" s="372"/>
      <c r="AF73" s="372"/>
      <c r="AG73" s="372"/>
      <c r="AH73" s="372"/>
      <c r="AI73" s="372"/>
      <c r="AJ73" s="372"/>
      <c r="AK73" s="372"/>
      <c r="AL73" s="372"/>
      <c r="AM73" s="372"/>
    </row>
    <row r="74" spans="23:39" x14ac:dyDescent="0.35">
      <c r="W74" s="371"/>
      <c r="X74" s="371"/>
      <c r="Y74" s="371"/>
      <c r="Z74" s="372"/>
      <c r="AA74" s="372"/>
      <c r="AB74" s="372"/>
      <c r="AC74" s="372"/>
      <c r="AD74" s="372"/>
      <c r="AE74" s="372"/>
      <c r="AF74" s="372"/>
      <c r="AG74" s="372"/>
      <c r="AH74" s="372"/>
      <c r="AI74" s="372"/>
      <c r="AJ74" s="372"/>
      <c r="AK74" s="372"/>
      <c r="AL74" s="372"/>
      <c r="AM74" s="372"/>
    </row>
    <row r="75" spans="23:39" x14ac:dyDescent="0.35">
      <c r="W75" s="371"/>
      <c r="X75" s="371"/>
      <c r="Y75" s="371"/>
      <c r="Z75" s="372"/>
      <c r="AA75" s="372"/>
      <c r="AB75" s="372"/>
      <c r="AC75" s="372"/>
      <c r="AD75" s="372"/>
      <c r="AE75" s="372"/>
      <c r="AF75" s="372"/>
      <c r="AG75" s="372"/>
      <c r="AH75" s="372"/>
      <c r="AI75" s="372"/>
      <c r="AJ75" s="372"/>
      <c r="AK75" s="372"/>
      <c r="AL75" s="372"/>
      <c r="AM75" s="372"/>
    </row>
    <row r="76" spans="23:39" x14ac:dyDescent="0.35">
      <c r="W76" s="371"/>
      <c r="X76" s="371"/>
      <c r="Y76" s="371"/>
      <c r="Z76" s="372"/>
      <c r="AA76" s="372"/>
      <c r="AB76" s="372"/>
      <c r="AC76" s="372"/>
      <c r="AD76" s="372"/>
      <c r="AE76" s="372"/>
      <c r="AF76" s="372"/>
      <c r="AG76" s="372"/>
      <c r="AH76" s="372"/>
      <c r="AI76" s="372"/>
      <c r="AJ76" s="372"/>
      <c r="AK76" s="372"/>
      <c r="AL76" s="372"/>
      <c r="AM76" s="372"/>
    </row>
    <row r="77" spans="23:39" x14ac:dyDescent="0.35">
      <c r="W77" s="371"/>
      <c r="X77" s="371"/>
      <c r="Y77" s="371"/>
      <c r="Z77" s="372"/>
      <c r="AA77" s="372"/>
      <c r="AB77" s="372"/>
      <c r="AC77" s="372"/>
      <c r="AD77" s="372"/>
      <c r="AE77" s="372"/>
      <c r="AF77" s="372"/>
      <c r="AG77" s="372"/>
      <c r="AH77" s="372"/>
      <c r="AI77" s="372"/>
      <c r="AJ77" s="372"/>
      <c r="AK77" s="372"/>
      <c r="AL77" s="372"/>
      <c r="AM77" s="372"/>
    </row>
    <row r="78" spans="23:39" x14ac:dyDescent="0.35">
      <c r="W78" s="371"/>
      <c r="X78" s="371"/>
      <c r="Y78" s="371"/>
      <c r="Z78" s="372"/>
      <c r="AA78" s="372"/>
      <c r="AB78" s="372"/>
      <c r="AC78" s="372"/>
      <c r="AD78" s="372"/>
      <c r="AE78" s="372"/>
      <c r="AF78" s="372"/>
      <c r="AG78" s="372"/>
      <c r="AH78" s="372"/>
      <c r="AI78" s="372"/>
      <c r="AJ78" s="372"/>
      <c r="AK78" s="372"/>
      <c r="AL78" s="372"/>
      <c r="AM78" s="372"/>
    </row>
    <row r="79" spans="23:39" x14ac:dyDescent="0.35">
      <c r="W79" s="371"/>
      <c r="X79" s="371"/>
      <c r="Y79" s="371"/>
      <c r="Z79" s="372"/>
      <c r="AA79" s="372"/>
      <c r="AB79" s="372"/>
      <c r="AC79" s="372"/>
      <c r="AD79" s="372"/>
      <c r="AE79" s="372"/>
      <c r="AF79" s="372"/>
      <c r="AG79" s="372"/>
      <c r="AH79" s="372"/>
      <c r="AI79" s="372"/>
      <c r="AJ79" s="372"/>
      <c r="AK79" s="372"/>
      <c r="AL79" s="372"/>
      <c r="AM79" s="372"/>
    </row>
    <row r="80" spans="23:39" x14ac:dyDescent="0.35">
      <c r="W80" s="371"/>
      <c r="X80" s="371"/>
      <c r="Y80" s="371"/>
      <c r="Z80" s="372"/>
      <c r="AA80" s="372"/>
      <c r="AB80" s="372"/>
      <c r="AC80" s="372"/>
      <c r="AD80" s="372"/>
      <c r="AE80" s="372"/>
      <c r="AF80" s="372"/>
      <c r="AG80" s="372"/>
      <c r="AH80" s="372"/>
      <c r="AI80" s="372"/>
      <c r="AJ80" s="372"/>
      <c r="AK80" s="372"/>
      <c r="AL80" s="372"/>
      <c r="AM80" s="372"/>
    </row>
    <row r="81" spans="23:39" x14ac:dyDescent="0.35">
      <c r="W81" s="371"/>
      <c r="X81" s="371"/>
      <c r="Y81" s="371"/>
      <c r="Z81" s="372"/>
      <c r="AA81" s="372"/>
      <c r="AB81" s="372"/>
      <c r="AC81" s="372"/>
      <c r="AD81" s="372"/>
      <c r="AE81" s="372"/>
      <c r="AF81" s="372"/>
      <c r="AG81" s="372"/>
      <c r="AH81" s="372"/>
      <c r="AI81" s="372"/>
      <c r="AJ81" s="372"/>
      <c r="AK81" s="372"/>
      <c r="AL81" s="372"/>
      <c r="AM81" s="372"/>
    </row>
    <row r="82" spans="23:39" x14ac:dyDescent="0.35">
      <c r="W82" s="371"/>
      <c r="X82" s="371"/>
      <c r="Y82" s="371"/>
      <c r="Z82" s="372"/>
      <c r="AA82" s="372"/>
      <c r="AB82" s="372"/>
      <c r="AC82" s="372"/>
      <c r="AD82" s="372"/>
      <c r="AE82" s="372"/>
      <c r="AF82" s="372"/>
      <c r="AG82" s="372"/>
      <c r="AH82" s="372"/>
      <c r="AI82" s="372"/>
      <c r="AJ82" s="372"/>
      <c r="AK82" s="372"/>
      <c r="AL82" s="372"/>
      <c r="AM82" s="372"/>
    </row>
    <row r="83" spans="23:39" x14ac:dyDescent="0.35">
      <c r="W83" s="371"/>
      <c r="X83" s="371"/>
      <c r="Y83" s="371"/>
      <c r="Z83" s="372"/>
      <c r="AA83" s="372"/>
      <c r="AB83" s="372"/>
      <c r="AC83" s="372"/>
      <c r="AD83" s="372"/>
      <c r="AE83" s="372"/>
      <c r="AF83" s="372"/>
      <c r="AG83" s="372"/>
      <c r="AH83" s="372"/>
      <c r="AI83" s="372"/>
      <c r="AJ83" s="372"/>
      <c r="AK83" s="372"/>
      <c r="AL83" s="372"/>
      <c r="AM83" s="372"/>
    </row>
    <row r="84" spans="23:39" x14ac:dyDescent="0.35">
      <c r="W84" s="371"/>
      <c r="X84" s="371"/>
      <c r="Y84" s="371"/>
      <c r="Z84" s="372"/>
      <c r="AA84" s="372"/>
      <c r="AB84" s="372"/>
      <c r="AC84" s="372"/>
      <c r="AD84" s="372"/>
      <c r="AE84" s="372"/>
      <c r="AF84" s="372"/>
      <c r="AG84" s="372"/>
      <c r="AH84" s="372"/>
      <c r="AI84" s="372"/>
      <c r="AJ84" s="372"/>
      <c r="AK84" s="372"/>
      <c r="AL84" s="372"/>
      <c r="AM84" s="372"/>
    </row>
    <row r="85" spans="23:39" x14ac:dyDescent="0.35">
      <c r="W85" s="371"/>
      <c r="X85" s="371"/>
      <c r="Y85" s="371"/>
      <c r="Z85" s="372"/>
      <c r="AA85" s="372"/>
      <c r="AB85" s="372"/>
      <c r="AC85" s="372"/>
      <c r="AD85" s="372"/>
      <c r="AE85" s="372"/>
      <c r="AF85" s="372"/>
      <c r="AG85" s="372"/>
      <c r="AH85" s="372"/>
      <c r="AI85" s="372"/>
      <c r="AJ85" s="372"/>
      <c r="AK85" s="372"/>
      <c r="AL85" s="372"/>
      <c r="AM85" s="372"/>
    </row>
    <row r="86" spans="23:39" x14ac:dyDescent="0.35">
      <c r="W86" s="371"/>
      <c r="X86" s="371"/>
      <c r="Y86" s="371"/>
      <c r="Z86" s="372"/>
      <c r="AA86" s="372"/>
      <c r="AB86" s="372"/>
      <c r="AC86" s="372"/>
      <c r="AD86" s="372"/>
      <c r="AE86" s="372"/>
      <c r="AF86" s="372"/>
      <c r="AG86" s="372"/>
      <c r="AH86" s="372"/>
      <c r="AI86" s="372"/>
      <c r="AJ86" s="372"/>
      <c r="AK86" s="372"/>
      <c r="AL86" s="372"/>
      <c r="AM86" s="372"/>
    </row>
    <row r="87" spans="23:39" x14ac:dyDescent="0.35">
      <c r="W87" s="371"/>
      <c r="X87" s="371"/>
      <c r="Y87" s="371"/>
      <c r="Z87" s="372"/>
      <c r="AA87" s="372"/>
      <c r="AB87" s="372"/>
      <c r="AC87" s="372"/>
      <c r="AD87" s="372"/>
      <c r="AE87" s="372"/>
      <c r="AF87" s="372"/>
      <c r="AG87" s="372"/>
      <c r="AH87" s="372"/>
      <c r="AI87" s="372"/>
      <c r="AJ87" s="372"/>
      <c r="AK87" s="372"/>
      <c r="AL87" s="372"/>
      <c r="AM87" s="372"/>
    </row>
    <row r="88" spans="23:39" x14ac:dyDescent="0.35">
      <c r="W88" s="371"/>
      <c r="X88" s="371"/>
      <c r="Y88" s="371"/>
      <c r="Z88" s="372"/>
      <c r="AA88" s="372"/>
      <c r="AB88" s="372"/>
      <c r="AC88" s="372"/>
      <c r="AD88" s="372"/>
      <c r="AE88" s="372"/>
      <c r="AF88" s="372"/>
      <c r="AG88" s="372"/>
      <c r="AH88" s="372"/>
      <c r="AI88" s="372"/>
      <c r="AJ88" s="372"/>
      <c r="AK88" s="372"/>
      <c r="AL88" s="372"/>
      <c r="AM88" s="372"/>
    </row>
    <row r="89" spans="23:39" x14ac:dyDescent="0.35">
      <c r="W89" s="371"/>
      <c r="X89" s="371"/>
      <c r="Y89" s="371"/>
      <c r="Z89" s="372"/>
      <c r="AA89" s="372"/>
      <c r="AB89" s="372"/>
      <c r="AC89" s="372"/>
      <c r="AD89" s="372"/>
      <c r="AE89" s="372"/>
      <c r="AF89" s="372"/>
      <c r="AG89" s="372"/>
      <c r="AH89" s="372"/>
      <c r="AI89" s="372"/>
      <c r="AJ89" s="372"/>
      <c r="AK89" s="372"/>
      <c r="AL89" s="372"/>
      <c r="AM89" s="372"/>
    </row>
    <row r="90" spans="23:39" x14ac:dyDescent="0.35">
      <c r="W90" s="371"/>
      <c r="X90" s="371"/>
      <c r="Y90" s="371"/>
      <c r="Z90" s="372"/>
      <c r="AA90" s="372"/>
      <c r="AB90" s="372"/>
      <c r="AC90" s="372"/>
      <c r="AD90" s="372"/>
      <c r="AE90" s="372"/>
      <c r="AF90" s="372"/>
      <c r="AG90" s="372"/>
      <c r="AH90" s="372"/>
      <c r="AI90" s="372"/>
      <c r="AJ90" s="372"/>
      <c r="AK90" s="372"/>
      <c r="AL90" s="372"/>
      <c r="AM90" s="372"/>
    </row>
    <row r="91" spans="23:39" x14ac:dyDescent="0.35">
      <c r="W91" s="371"/>
      <c r="X91" s="371"/>
      <c r="Y91" s="371"/>
      <c r="Z91" s="372"/>
      <c r="AA91" s="372"/>
      <c r="AB91" s="372"/>
      <c r="AC91" s="372"/>
      <c r="AD91" s="372"/>
      <c r="AE91" s="372"/>
      <c r="AF91" s="372"/>
      <c r="AG91" s="372"/>
      <c r="AH91" s="372"/>
      <c r="AI91" s="372"/>
      <c r="AJ91" s="372"/>
      <c r="AK91" s="372"/>
      <c r="AL91" s="372"/>
      <c r="AM91" s="372"/>
    </row>
    <row r="92" spans="23:39" x14ac:dyDescent="0.35">
      <c r="W92" s="371"/>
      <c r="X92" s="371"/>
      <c r="Y92" s="371"/>
      <c r="Z92" s="372"/>
      <c r="AA92" s="372"/>
      <c r="AB92" s="372"/>
      <c r="AC92" s="372"/>
      <c r="AD92" s="372"/>
      <c r="AE92" s="372"/>
      <c r="AF92" s="372"/>
      <c r="AG92" s="372"/>
      <c r="AH92" s="372"/>
      <c r="AI92" s="372"/>
      <c r="AJ92" s="372"/>
      <c r="AK92" s="372"/>
      <c r="AL92" s="372"/>
      <c r="AM92" s="372"/>
    </row>
    <row r="93" spans="23:39" x14ac:dyDescent="0.35">
      <c r="W93" s="371"/>
      <c r="X93" s="371"/>
      <c r="Y93" s="371"/>
      <c r="Z93" s="372"/>
      <c r="AA93" s="372"/>
      <c r="AB93" s="372"/>
      <c r="AC93" s="372"/>
      <c r="AD93" s="372"/>
      <c r="AE93" s="372"/>
      <c r="AF93" s="372"/>
      <c r="AG93" s="372"/>
      <c r="AH93" s="372"/>
      <c r="AI93" s="372"/>
      <c r="AJ93" s="372"/>
      <c r="AK93" s="372"/>
      <c r="AL93" s="372"/>
      <c r="AM93" s="372"/>
    </row>
    <row r="94" spans="23:39" x14ac:dyDescent="0.35">
      <c r="W94" s="371"/>
      <c r="X94" s="371"/>
      <c r="Y94" s="371"/>
      <c r="Z94" s="372"/>
      <c r="AA94" s="372"/>
      <c r="AB94" s="372"/>
      <c r="AC94" s="372"/>
      <c r="AD94" s="372"/>
      <c r="AE94" s="372"/>
      <c r="AF94" s="372"/>
      <c r="AG94" s="372"/>
      <c r="AH94" s="372"/>
      <c r="AI94" s="372"/>
      <c r="AJ94" s="372"/>
      <c r="AK94" s="372"/>
      <c r="AL94" s="372"/>
      <c r="AM94" s="372"/>
    </row>
    <row r="95" spans="23:39" x14ac:dyDescent="0.35">
      <c r="W95" s="371"/>
      <c r="X95" s="371"/>
      <c r="Y95" s="371"/>
      <c r="Z95" s="372"/>
      <c r="AA95" s="372"/>
      <c r="AB95" s="372"/>
      <c r="AC95" s="372"/>
      <c r="AD95" s="372"/>
      <c r="AE95" s="372"/>
      <c r="AF95" s="372"/>
      <c r="AG95" s="372"/>
      <c r="AH95" s="372"/>
      <c r="AI95" s="372"/>
      <c r="AJ95" s="372"/>
      <c r="AK95" s="372"/>
      <c r="AL95" s="372"/>
      <c r="AM95" s="372"/>
    </row>
    <row r="96" spans="23:39" x14ac:dyDescent="0.35">
      <c r="W96" s="371"/>
      <c r="X96" s="371"/>
      <c r="Y96" s="371"/>
      <c r="Z96" s="372"/>
      <c r="AA96" s="372"/>
      <c r="AB96" s="372"/>
      <c r="AC96" s="372"/>
      <c r="AD96" s="372"/>
      <c r="AE96" s="372"/>
      <c r="AF96" s="372"/>
      <c r="AG96" s="372"/>
      <c r="AH96" s="372"/>
      <c r="AI96" s="372"/>
      <c r="AJ96" s="372"/>
      <c r="AK96" s="372"/>
      <c r="AL96" s="372"/>
      <c r="AM96" s="372"/>
    </row>
    <row r="97" spans="23:39" x14ac:dyDescent="0.35">
      <c r="W97" s="371"/>
      <c r="X97" s="371"/>
      <c r="Y97" s="371"/>
      <c r="Z97" s="372"/>
      <c r="AA97" s="372"/>
      <c r="AB97" s="372"/>
      <c r="AC97" s="372"/>
      <c r="AD97" s="372"/>
      <c r="AE97" s="372"/>
      <c r="AF97" s="372"/>
      <c r="AG97" s="372"/>
      <c r="AH97" s="372"/>
      <c r="AI97" s="372"/>
      <c r="AJ97" s="372"/>
      <c r="AK97" s="372"/>
      <c r="AL97" s="372"/>
      <c r="AM97" s="372"/>
    </row>
    <row r="98" spans="23:39" x14ac:dyDescent="0.35">
      <c r="W98" s="371"/>
      <c r="X98" s="371"/>
      <c r="Y98" s="371"/>
      <c r="Z98" s="372"/>
      <c r="AA98" s="372"/>
      <c r="AB98" s="372"/>
      <c r="AC98" s="372"/>
      <c r="AD98" s="372"/>
      <c r="AE98" s="372"/>
      <c r="AF98" s="372"/>
      <c r="AG98" s="372"/>
      <c r="AH98" s="372"/>
      <c r="AI98" s="372"/>
      <c r="AJ98" s="372"/>
      <c r="AK98" s="372"/>
      <c r="AL98" s="372"/>
      <c r="AM98" s="372"/>
    </row>
    <row r="99" spans="23:39" x14ac:dyDescent="0.35">
      <c r="W99" s="371"/>
      <c r="X99" s="371"/>
      <c r="Y99" s="371"/>
      <c r="Z99" s="372"/>
      <c r="AA99" s="372"/>
      <c r="AB99" s="372"/>
      <c r="AC99" s="372"/>
      <c r="AD99" s="372"/>
      <c r="AE99" s="372"/>
      <c r="AF99" s="372"/>
      <c r="AG99" s="372"/>
      <c r="AH99" s="372"/>
      <c r="AI99" s="372"/>
      <c r="AJ99" s="372"/>
      <c r="AK99" s="372"/>
      <c r="AL99" s="372"/>
      <c r="AM99" s="372"/>
    </row>
    <row r="100" spans="23:39" x14ac:dyDescent="0.35">
      <c r="W100" s="371"/>
      <c r="X100" s="371"/>
      <c r="Y100" s="371"/>
      <c r="Z100" s="372"/>
      <c r="AA100" s="372"/>
      <c r="AB100" s="372"/>
      <c r="AC100" s="372"/>
      <c r="AD100" s="372"/>
      <c r="AE100" s="372"/>
      <c r="AF100" s="372"/>
      <c r="AG100" s="372"/>
      <c r="AH100" s="372"/>
      <c r="AI100" s="372"/>
      <c r="AJ100" s="372"/>
      <c r="AK100" s="372"/>
      <c r="AL100" s="372"/>
      <c r="AM100" s="372"/>
    </row>
    <row r="101" spans="23:39" x14ac:dyDescent="0.35">
      <c r="W101" s="371"/>
      <c r="X101" s="371"/>
      <c r="Y101" s="371"/>
      <c r="Z101" s="372"/>
      <c r="AA101" s="372"/>
      <c r="AB101" s="372"/>
      <c r="AC101" s="372"/>
      <c r="AD101" s="372"/>
      <c r="AE101" s="372"/>
      <c r="AF101" s="372"/>
      <c r="AG101" s="372"/>
      <c r="AH101" s="372"/>
      <c r="AI101" s="372"/>
      <c r="AJ101" s="372"/>
      <c r="AK101" s="372"/>
      <c r="AL101" s="372"/>
      <c r="AM101" s="372"/>
    </row>
    <row r="102" spans="23:39" x14ac:dyDescent="0.35">
      <c r="W102" s="371"/>
      <c r="X102" s="371"/>
      <c r="Y102" s="371"/>
      <c r="Z102" s="372"/>
      <c r="AA102" s="372"/>
      <c r="AB102" s="372"/>
      <c r="AC102" s="372"/>
      <c r="AD102" s="372"/>
      <c r="AE102" s="372"/>
      <c r="AF102" s="372"/>
      <c r="AG102" s="372"/>
      <c r="AH102" s="372"/>
      <c r="AI102" s="372"/>
      <c r="AJ102" s="372"/>
      <c r="AK102" s="372"/>
      <c r="AL102" s="372"/>
      <c r="AM102" s="372"/>
    </row>
    <row r="103" spans="23:39" x14ac:dyDescent="0.35">
      <c r="W103" s="371"/>
      <c r="X103" s="371"/>
      <c r="Y103" s="371"/>
      <c r="Z103" s="372"/>
      <c r="AA103" s="372"/>
      <c r="AB103" s="372"/>
      <c r="AC103" s="372"/>
      <c r="AD103" s="372"/>
      <c r="AE103" s="372"/>
      <c r="AF103" s="372"/>
      <c r="AG103" s="372"/>
      <c r="AH103" s="372"/>
      <c r="AI103" s="372"/>
      <c r="AJ103" s="372"/>
      <c r="AK103" s="372"/>
      <c r="AL103" s="372"/>
      <c r="AM103" s="372"/>
    </row>
    <row r="104" spans="23:39" x14ac:dyDescent="0.35">
      <c r="W104" s="371"/>
      <c r="X104" s="371"/>
      <c r="Y104" s="371"/>
      <c r="Z104" s="372"/>
      <c r="AA104" s="372"/>
      <c r="AB104" s="372"/>
      <c r="AC104" s="372"/>
      <c r="AD104" s="372"/>
      <c r="AE104" s="372"/>
      <c r="AF104" s="372"/>
      <c r="AG104" s="372"/>
      <c r="AH104" s="372"/>
      <c r="AI104" s="372"/>
      <c r="AJ104" s="372"/>
      <c r="AK104" s="372"/>
      <c r="AL104" s="372"/>
      <c r="AM104" s="372"/>
    </row>
    <row r="105" spans="23:39" x14ac:dyDescent="0.35">
      <c r="W105" s="371"/>
      <c r="X105" s="371"/>
      <c r="Y105" s="371"/>
      <c r="Z105" s="372"/>
      <c r="AA105" s="372"/>
      <c r="AB105" s="372"/>
      <c r="AC105" s="372"/>
      <c r="AD105" s="372"/>
      <c r="AE105" s="372"/>
      <c r="AF105" s="372"/>
      <c r="AG105" s="372"/>
      <c r="AH105" s="372"/>
      <c r="AI105" s="372"/>
      <c r="AJ105" s="372"/>
      <c r="AK105" s="372"/>
      <c r="AL105" s="372"/>
      <c r="AM105" s="372"/>
    </row>
    <row r="106" spans="23:39" x14ac:dyDescent="0.35">
      <c r="W106" s="371"/>
      <c r="X106" s="371"/>
      <c r="Y106" s="371"/>
      <c r="Z106" s="372"/>
      <c r="AA106" s="372"/>
      <c r="AB106" s="372"/>
      <c r="AC106" s="372"/>
      <c r="AD106" s="372"/>
      <c r="AE106" s="372"/>
      <c r="AF106" s="372"/>
      <c r="AG106" s="372"/>
      <c r="AH106" s="372"/>
      <c r="AI106" s="372"/>
      <c r="AJ106" s="372"/>
      <c r="AK106" s="372"/>
      <c r="AL106" s="372"/>
      <c r="AM106" s="372"/>
    </row>
    <row r="107" spans="23:39" x14ac:dyDescent="0.35">
      <c r="W107" s="371"/>
      <c r="X107" s="371"/>
      <c r="Y107" s="371"/>
      <c r="Z107" s="372"/>
      <c r="AA107" s="372"/>
      <c r="AB107" s="372"/>
      <c r="AC107" s="372"/>
      <c r="AD107" s="372"/>
      <c r="AE107" s="372"/>
      <c r="AF107" s="372"/>
      <c r="AG107" s="372"/>
      <c r="AH107" s="372"/>
      <c r="AI107" s="372"/>
      <c r="AJ107" s="372"/>
      <c r="AK107" s="372"/>
      <c r="AL107" s="372"/>
      <c r="AM107" s="372"/>
    </row>
    <row r="108" spans="23:39" x14ac:dyDescent="0.35">
      <c r="W108" s="371"/>
      <c r="X108" s="371"/>
      <c r="Y108" s="371"/>
      <c r="Z108" s="372"/>
      <c r="AA108" s="372"/>
      <c r="AB108" s="372"/>
      <c r="AC108" s="372"/>
      <c r="AD108" s="372"/>
      <c r="AE108" s="372"/>
      <c r="AF108" s="372"/>
      <c r="AG108" s="372"/>
      <c r="AH108" s="372"/>
      <c r="AI108" s="372"/>
      <c r="AJ108" s="372"/>
      <c r="AK108" s="372"/>
      <c r="AL108" s="372"/>
      <c r="AM108" s="372"/>
    </row>
    <row r="109" spans="23:39" x14ac:dyDescent="0.35">
      <c r="W109" s="371"/>
      <c r="X109" s="371"/>
      <c r="Y109" s="371"/>
      <c r="Z109" s="372"/>
      <c r="AA109" s="372"/>
      <c r="AB109" s="372"/>
      <c r="AC109" s="372"/>
      <c r="AD109" s="372"/>
      <c r="AE109" s="372"/>
      <c r="AF109" s="372"/>
      <c r="AG109" s="372"/>
      <c r="AH109" s="372"/>
      <c r="AI109" s="372"/>
      <c r="AJ109" s="372"/>
      <c r="AK109" s="372"/>
      <c r="AL109" s="372"/>
      <c r="AM109" s="372"/>
    </row>
    <row r="110" spans="23:39" x14ac:dyDescent="0.35">
      <c r="W110" s="371"/>
      <c r="X110" s="371"/>
      <c r="Y110" s="371"/>
      <c r="Z110" s="372"/>
      <c r="AA110" s="372"/>
      <c r="AB110" s="372"/>
      <c r="AC110" s="372"/>
      <c r="AD110" s="372"/>
      <c r="AE110" s="372"/>
      <c r="AF110" s="372"/>
      <c r="AG110" s="372"/>
      <c r="AH110" s="372"/>
      <c r="AI110" s="372"/>
      <c r="AJ110" s="372"/>
      <c r="AK110" s="372"/>
      <c r="AL110" s="372"/>
      <c r="AM110" s="372"/>
    </row>
    <row r="111" spans="23:39" x14ac:dyDescent="0.35">
      <c r="W111" s="371"/>
      <c r="X111" s="371"/>
      <c r="Y111" s="371"/>
      <c r="Z111" s="372"/>
      <c r="AA111" s="372"/>
      <c r="AB111" s="372"/>
      <c r="AC111" s="372"/>
      <c r="AD111" s="372"/>
      <c r="AE111" s="372"/>
      <c r="AF111" s="372"/>
      <c r="AG111" s="372"/>
      <c r="AH111" s="372"/>
      <c r="AI111" s="372"/>
      <c r="AJ111" s="372"/>
      <c r="AK111" s="372"/>
      <c r="AL111" s="372"/>
      <c r="AM111" s="372"/>
    </row>
    <row r="112" spans="23:39" x14ac:dyDescent="0.35">
      <c r="W112" s="371"/>
      <c r="X112" s="371"/>
      <c r="Y112" s="371"/>
      <c r="Z112" s="372"/>
      <c r="AA112" s="372"/>
      <c r="AB112" s="372"/>
      <c r="AC112" s="372"/>
      <c r="AD112" s="372"/>
      <c r="AE112" s="372"/>
      <c r="AF112" s="372"/>
      <c r="AG112" s="372"/>
      <c r="AH112" s="372"/>
      <c r="AI112" s="372"/>
      <c r="AJ112" s="372"/>
      <c r="AK112" s="372"/>
      <c r="AL112" s="372"/>
      <c r="AM112" s="372"/>
    </row>
    <row r="113" spans="23:39" x14ac:dyDescent="0.35">
      <c r="W113" s="371"/>
      <c r="X113" s="371"/>
      <c r="Y113" s="371"/>
      <c r="Z113" s="372"/>
      <c r="AA113" s="372"/>
      <c r="AB113" s="372"/>
      <c r="AC113" s="372"/>
      <c r="AD113" s="372"/>
      <c r="AE113" s="372"/>
      <c r="AF113" s="372"/>
      <c r="AG113" s="372"/>
      <c r="AH113" s="372"/>
      <c r="AI113" s="372"/>
      <c r="AJ113" s="372"/>
      <c r="AK113" s="372"/>
      <c r="AL113" s="372"/>
      <c r="AM113" s="372"/>
    </row>
    <row r="114" spans="23:39" x14ac:dyDescent="0.35">
      <c r="W114" s="371"/>
      <c r="X114" s="371"/>
      <c r="Y114" s="371"/>
      <c r="Z114" s="372"/>
      <c r="AA114" s="372"/>
      <c r="AB114" s="372"/>
      <c r="AC114" s="372"/>
      <c r="AD114" s="372"/>
      <c r="AE114" s="372"/>
      <c r="AF114" s="372"/>
      <c r="AG114" s="372"/>
      <c r="AH114" s="372"/>
      <c r="AI114" s="372"/>
      <c r="AJ114" s="372"/>
      <c r="AK114" s="372"/>
      <c r="AL114" s="372"/>
      <c r="AM114" s="372"/>
    </row>
    <row r="115" spans="23:39" x14ac:dyDescent="0.35">
      <c r="W115" s="371"/>
      <c r="X115" s="371"/>
      <c r="Y115" s="371"/>
      <c r="Z115" s="372"/>
      <c r="AA115" s="372"/>
      <c r="AB115" s="372"/>
      <c r="AC115" s="372"/>
      <c r="AD115" s="372"/>
      <c r="AE115" s="372"/>
      <c r="AF115" s="372"/>
      <c r="AG115" s="372"/>
      <c r="AH115" s="372"/>
      <c r="AI115" s="372"/>
      <c r="AJ115" s="372"/>
      <c r="AK115" s="372"/>
      <c r="AL115" s="372"/>
      <c r="AM115" s="372"/>
    </row>
    <row r="116" spans="23:39" x14ac:dyDescent="0.35">
      <c r="W116" s="371"/>
      <c r="X116" s="371"/>
      <c r="Y116" s="371"/>
      <c r="Z116" s="372"/>
      <c r="AA116" s="372"/>
      <c r="AB116" s="372"/>
      <c r="AC116" s="372"/>
      <c r="AD116" s="372"/>
      <c r="AE116" s="372"/>
      <c r="AF116" s="372"/>
      <c r="AG116" s="372"/>
      <c r="AH116" s="372"/>
      <c r="AI116" s="372"/>
      <c r="AJ116" s="372"/>
      <c r="AK116" s="372"/>
      <c r="AL116" s="372"/>
      <c r="AM116" s="372"/>
    </row>
    <row r="117" spans="23:39" x14ac:dyDescent="0.35">
      <c r="W117" s="371"/>
      <c r="X117" s="371"/>
      <c r="Y117" s="371"/>
      <c r="Z117" s="372"/>
      <c r="AA117" s="372"/>
      <c r="AB117" s="372"/>
      <c r="AC117" s="372"/>
      <c r="AD117" s="372"/>
      <c r="AE117" s="372"/>
      <c r="AF117" s="372"/>
      <c r="AG117" s="372"/>
      <c r="AH117" s="372"/>
      <c r="AI117" s="372"/>
      <c r="AJ117" s="372"/>
      <c r="AK117" s="372"/>
      <c r="AL117" s="372"/>
      <c r="AM117" s="372"/>
    </row>
    <row r="118" spans="23:39" x14ac:dyDescent="0.35">
      <c r="W118" s="371"/>
      <c r="X118" s="371"/>
      <c r="Y118" s="371"/>
      <c r="Z118" s="372"/>
      <c r="AA118" s="372"/>
      <c r="AB118" s="372"/>
      <c r="AC118" s="372"/>
      <c r="AD118" s="372"/>
      <c r="AE118" s="372"/>
      <c r="AF118" s="372"/>
      <c r="AG118" s="372"/>
      <c r="AH118" s="372"/>
      <c r="AI118" s="372"/>
      <c r="AJ118" s="372"/>
      <c r="AK118" s="372"/>
      <c r="AL118" s="372"/>
      <c r="AM118" s="372"/>
    </row>
    <row r="119" spans="23:39" x14ac:dyDescent="0.35">
      <c r="W119" s="371"/>
      <c r="X119" s="371"/>
      <c r="Y119" s="371"/>
      <c r="Z119" s="372"/>
      <c r="AA119" s="372"/>
      <c r="AB119" s="372"/>
      <c r="AC119" s="372"/>
      <c r="AD119" s="372"/>
      <c r="AE119" s="372"/>
      <c r="AF119" s="372"/>
      <c r="AG119" s="372"/>
      <c r="AH119" s="372"/>
      <c r="AI119" s="372"/>
      <c r="AJ119" s="372"/>
      <c r="AK119" s="372"/>
      <c r="AL119" s="372"/>
      <c r="AM119" s="372"/>
    </row>
    <row r="120" spans="23:39" x14ac:dyDescent="0.35">
      <c r="W120" s="371"/>
      <c r="X120" s="371"/>
      <c r="Y120" s="371"/>
      <c r="Z120" s="372"/>
      <c r="AA120" s="372"/>
      <c r="AB120" s="372"/>
      <c r="AC120" s="372"/>
      <c r="AD120" s="372"/>
      <c r="AE120" s="372"/>
      <c r="AF120" s="372"/>
      <c r="AG120" s="372"/>
      <c r="AH120" s="372"/>
      <c r="AI120" s="372"/>
      <c r="AJ120" s="372"/>
      <c r="AK120" s="372"/>
      <c r="AL120" s="372"/>
      <c r="AM120" s="372"/>
    </row>
    <row r="121" spans="23:39" x14ac:dyDescent="0.35">
      <c r="W121" s="371"/>
      <c r="X121" s="371"/>
      <c r="Y121" s="371"/>
      <c r="Z121" s="372"/>
      <c r="AA121" s="372"/>
      <c r="AB121" s="372"/>
      <c r="AC121" s="372"/>
      <c r="AD121" s="372"/>
      <c r="AE121" s="372"/>
      <c r="AF121" s="372"/>
      <c r="AG121" s="372"/>
      <c r="AH121" s="372"/>
      <c r="AI121" s="372"/>
      <c r="AJ121" s="372"/>
      <c r="AK121" s="372"/>
      <c r="AL121" s="372"/>
      <c r="AM121" s="372"/>
    </row>
    <row r="122" spans="23:39" x14ac:dyDescent="0.35">
      <c r="W122" s="371"/>
      <c r="X122" s="371"/>
      <c r="Y122" s="371"/>
      <c r="Z122" s="372"/>
      <c r="AA122" s="372"/>
      <c r="AB122" s="372"/>
      <c r="AC122" s="372"/>
      <c r="AD122" s="372"/>
      <c r="AE122" s="372"/>
      <c r="AF122" s="372"/>
      <c r="AG122" s="372"/>
      <c r="AH122" s="372"/>
      <c r="AI122" s="372"/>
      <c r="AJ122" s="372"/>
      <c r="AK122" s="372"/>
      <c r="AL122" s="372"/>
      <c r="AM122" s="372"/>
    </row>
    <row r="123" spans="23:39" x14ac:dyDescent="0.35">
      <c r="W123" s="371"/>
      <c r="X123" s="371"/>
      <c r="Y123" s="371"/>
      <c r="Z123" s="372"/>
      <c r="AA123" s="372"/>
      <c r="AB123" s="372"/>
      <c r="AC123" s="372"/>
      <c r="AD123" s="372"/>
      <c r="AE123" s="372"/>
      <c r="AF123" s="372"/>
      <c r="AG123" s="372"/>
      <c r="AH123" s="372"/>
      <c r="AI123" s="372"/>
      <c r="AJ123" s="372"/>
      <c r="AK123" s="372"/>
      <c r="AL123" s="372"/>
      <c r="AM123" s="372"/>
    </row>
    <row r="124" spans="23:39" x14ac:dyDescent="0.35">
      <c r="W124" s="371"/>
      <c r="X124" s="371"/>
      <c r="Y124" s="371"/>
      <c r="Z124" s="372"/>
      <c r="AA124" s="372"/>
      <c r="AB124" s="372"/>
      <c r="AC124" s="372"/>
      <c r="AD124" s="372"/>
      <c r="AE124" s="372"/>
      <c r="AF124" s="372"/>
      <c r="AG124" s="372"/>
      <c r="AH124" s="372"/>
      <c r="AI124" s="372"/>
      <c r="AJ124" s="372"/>
      <c r="AK124" s="372"/>
      <c r="AL124" s="372"/>
      <c r="AM124" s="372"/>
    </row>
    <row r="125" spans="23:39" x14ac:dyDescent="0.35">
      <c r="W125" s="371"/>
      <c r="X125" s="371"/>
      <c r="Y125" s="371"/>
      <c r="Z125" s="372"/>
      <c r="AA125" s="372"/>
      <c r="AB125" s="372"/>
      <c r="AC125" s="372"/>
      <c r="AD125" s="372"/>
      <c r="AE125" s="372"/>
      <c r="AF125" s="372"/>
      <c r="AG125" s="372"/>
      <c r="AH125" s="372"/>
      <c r="AI125" s="372"/>
      <c r="AJ125" s="372"/>
      <c r="AK125" s="372"/>
      <c r="AL125" s="372"/>
      <c r="AM125" s="372"/>
    </row>
    <row r="126" spans="23:39" x14ac:dyDescent="0.35">
      <c r="W126" s="371"/>
      <c r="X126" s="371"/>
      <c r="Y126" s="371"/>
      <c r="Z126" s="372"/>
      <c r="AA126" s="372"/>
      <c r="AB126" s="372"/>
      <c r="AC126" s="372"/>
      <c r="AD126" s="372"/>
      <c r="AE126" s="372"/>
      <c r="AF126" s="372"/>
      <c r="AG126" s="372"/>
      <c r="AH126" s="372"/>
      <c r="AI126" s="372"/>
      <c r="AJ126" s="372"/>
      <c r="AK126" s="372"/>
      <c r="AL126" s="372"/>
      <c r="AM126" s="372"/>
    </row>
    <row r="127" spans="23:39" x14ac:dyDescent="0.35">
      <c r="W127" s="371"/>
      <c r="X127" s="371"/>
      <c r="Y127" s="371"/>
      <c r="Z127" s="372"/>
      <c r="AA127" s="372"/>
      <c r="AB127" s="372"/>
      <c r="AC127" s="372"/>
      <c r="AD127" s="372"/>
      <c r="AE127" s="372"/>
      <c r="AF127" s="372"/>
      <c r="AG127" s="372"/>
      <c r="AH127" s="372"/>
      <c r="AI127" s="372"/>
      <c r="AJ127" s="372"/>
      <c r="AK127" s="372"/>
      <c r="AL127" s="372"/>
      <c r="AM127" s="372"/>
    </row>
    <row r="128" spans="23:39" x14ac:dyDescent="0.35">
      <c r="W128" s="371"/>
      <c r="X128" s="371"/>
      <c r="Y128" s="371"/>
      <c r="Z128" s="372"/>
      <c r="AA128" s="372"/>
      <c r="AB128" s="372"/>
      <c r="AC128" s="372"/>
      <c r="AD128" s="372"/>
      <c r="AE128" s="372"/>
      <c r="AF128" s="372"/>
      <c r="AG128" s="372"/>
      <c r="AH128" s="372"/>
      <c r="AI128" s="372"/>
      <c r="AJ128" s="372"/>
      <c r="AK128" s="372"/>
      <c r="AL128" s="372"/>
      <c r="AM128" s="372"/>
    </row>
    <row r="129" spans="23:39" x14ac:dyDescent="0.35">
      <c r="W129" s="371"/>
      <c r="X129" s="371"/>
      <c r="Y129" s="371"/>
      <c r="Z129" s="372"/>
      <c r="AA129" s="372"/>
      <c r="AB129" s="372"/>
      <c r="AC129" s="372"/>
      <c r="AD129" s="372"/>
      <c r="AE129" s="372"/>
      <c r="AF129" s="372"/>
      <c r="AG129" s="372"/>
      <c r="AH129" s="372"/>
      <c r="AI129" s="372"/>
      <c r="AJ129" s="372"/>
      <c r="AK129" s="372"/>
      <c r="AL129" s="372"/>
      <c r="AM129" s="372"/>
    </row>
    <row r="130" spans="23:39" x14ac:dyDescent="0.35">
      <c r="W130" s="371"/>
      <c r="X130" s="371"/>
      <c r="Y130" s="371"/>
      <c r="Z130" s="372"/>
      <c r="AA130" s="372"/>
      <c r="AB130" s="372"/>
      <c r="AC130" s="372"/>
      <c r="AD130" s="372"/>
      <c r="AE130" s="372"/>
      <c r="AF130" s="372"/>
      <c r="AG130" s="372"/>
      <c r="AH130" s="372"/>
      <c r="AI130" s="372"/>
      <c r="AJ130" s="372"/>
      <c r="AK130" s="372"/>
      <c r="AL130" s="372"/>
      <c r="AM130" s="372"/>
    </row>
    <row r="131" spans="23:39" x14ac:dyDescent="0.35">
      <c r="W131" s="371"/>
      <c r="X131" s="371"/>
      <c r="Y131" s="371"/>
      <c r="Z131" s="372"/>
      <c r="AA131" s="372"/>
      <c r="AB131" s="372"/>
      <c r="AC131" s="372"/>
      <c r="AD131" s="372"/>
      <c r="AE131" s="372"/>
      <c r="AF131" s="372"/>
      <c r="AG131" s="372"/>
      <c r="AH131" s="372"/>
      <c r="AI131" s="372"/>
      <c r="AJ131" s="372"/>
      <c r="AK131" s="372"/>
      <c r="AL131" s="372"/>
      <c r="AM131" s="372"/>
    </row>
    <row r="132" spans="23:39" x14ac:dyDescent="0.35">
      <c r="W132" s="371"/>
      <c r="X132" s="371"/>
      <c r="Y132" s="371"/>
      <c r="Z132" s="372"/>
      <c r="AA132" s="372"/>
      <c r="AB132" s="372"/>
      <c r="AC132" s="372"/>
      <c r="AD132" s="372"/>
      <c r="AE132" s="372"/>
      <c r="AF132" s="372"/>
      <c r="AG132" s="372"/>
      <c r="AH132" s="372"/>
      <c r="AI132" s="372"/>
      <c r="AJ132" s="372"/>
      <c r="AK132" s="372"/>
      <c r="AL132" s="372"/>
      <c r="AM132" s="372"/>
    </row>
    <row r="133" spans="23:39" x14ac:dyDescent="0.35">
      <c r="W133" s="371"/>
      <c r="X133" s="371"/>
      <c r="Y133" s="371"/>
      <c r="Z133" s="372"/>
      <c r="AA133" s="372"/>
      <c r="AB133" s="372"/>
      <c r="AC133" s="372"/>
      <c r="AD133" s="372"/>
      <c r="AE133" s="372"/>
      <c r="AF133" s="372"/>
      <c r="AG133" s="372"/>
      <c r="AH133" s="372"/>
      <c r="AI133" s="372"/>
      <c r="AJ133" s="372"/>
      <c r="AK133" s="372"/>
      <c r="AL133" s="372"/>
      <c r="AM133" s="372"/>
    </row>
    <row r="134" spans="23:39" x14ac:dyDescent="0.35">
      <c r="W134" s="371"/>
      <c r="X134" s="371"/>
      <c r="Y134" s="371"/>
      <c r="Z134" s="372"/>
      <c r="AA134" s="372"/>
      <c r="AB134" s="372"/>
      <c r="AC134" s="372"/>
      <c r="AD134" s="372"/>
      <c r="AE134" s="372"/>
      <c r="AF134" s="372"/>
      <c r="AG134" s="372"/>
      <c r="AH134" s="372"/>
      <c r="AI134" s="372"/>
      <c r="AJ134" s="372"/>
      <c r="AK134" s="372"/>
      <c r="AL134" s="372"/>
      <c r="AM134" s="372"/>
    </row>
    <row r="135" spans="23:39" x14ac:dyDescent="0.35">
      <c r="W135" s="371"/>
      <c r="X135" s="371"/>
      <c r="Y135" s="371"/>
      <c r="Z135" s="372"/>
      <c r="AA135" s="372"/>
      <c r="AB135" s="372"/>
      <c r="AC135" s="372"/>
      <c r="AD135" s="372"/>
      <c r="AE135" s="372"/>
      <c r="AF135" s="372"/>
      <c r="AG135" s="372"/>
      <c r="AH135" s="372"/>
      <c r="AI135" s="372"/>
      <c r="AJ135" s="372"/>
      <c r="AK135" s="372"/>
      <c r="AL135" s="372"/>
      <c r="AM135" s="372"/>
    </row>
    <row r="136" spans="23:39" x14ac:dyDescent="0.35">
      <c r="W136" s="371"/>
      <c r="X136" s="371"/>
      <c r="Y136" s="371"/>
      <c r="Z136" s="372"/>
      <c r="AA136" s="372"/>
      <c r="AB136" s="372"/>
      <c r="AC136" s="372"/>
      <c r="AD136" s="372"/>
      <c r="AE136" s="372"/>
      <c r="AF136" s="372"/>
      <c r="AG136" s="372"/>
      <c r="AH136" s="372"/>
      <c r="AI136" s="372"/>
      <c r="AJ136" s="372"/>
      <c r="AK136" s="372"/>
      <c r="AL136" s="372"/>
      <c r="AM136" s="372"/>
    </row>
    <row r="137" spans="23:39" x14ac:dyDescent="0.35">
      <c r="W137" s="371"/>
      <c r="X137" s="371"/>
      <c r="Y137" s="371"/>
      <c r="Z137" s="372"/>
      <c r="AA137" s="372"/>
      <c r="AB137" s="372"/>
      <c r="AC137" s="372"/>
      <c r="AD137" s="372"/>
      <c r="AE137" s="372"/>
      <c r="AF137" s="372"/>
      <c r="AG137" s="372"/>
      <c r="AH137" s="372"/>
      <c r="AI137" s="372"/>
      <c r="AJ137" s="372"/>
      <c r="AK137" s="372"/>
      <c r="AL137" s="372"/>
      <c r="AM137" s="372"/>
    </row>
    <row r="138" spans="23:39" x14ac:dyDescent="0.35">
      <c r="W138" s="371"/>
      <c r="X138" s="371"/>
      <c r="Y138" s="371"/>
      <c r="Z138" s="372"/>
      <c r="AA138" s="372"/>
      <c r="AB138" s="372"/>
      <c r="AC138" s="372"/>
      <c r="AD138" s="372"/>
      <c r="AE138" s="372"/>
      <c r="AF138" s="372"/>
      <c r="AG138" s="372"/>
      <c r="AH138" s="372"/>
      <c r="AI138" s="372"/>
      <c r="AJ138" s="372"/>
      <c r="AK138" s="372"/>
      <c r="AL138" s="372"/>
      <c r="AM138" s="372"/>
    </row>
    <row r="139" spans="23:39" x14ac:dyDescent="0.35">
      <c r="W139" s="371"/>
      <c r="X139" s="371"/>
      <c r="Y139" s="371"/>
      <c r="Z139" s="372"/>
      <c r="AA139" s="372"/>
      <c r="AB139" s="372"/>
      <c r="AC139" s="372"/>
      <c r="AD139" s="372"/>
      <c r="AE139" s="372"/>
      <c r="AF139" s="372"/>
      <c r="AG139" s="372"/>
      <c r="AH139" s="372"/>
      <c r="AI139" s="372"/>
      <c r="AJ139" s="372"/>
      <c r="AK139" s="372"/>
      <c r="AL139" s="372"/>
      <c r="AM139" s="372"/>
    </row>
    <row r="140" spans="23:39" x14ac:dyDescent="0.35">
      <c r="W140" s="371"/>
      <c r="X140" s="371"/>
      <c r="Y140" s="371"/>
      <c r="Z140" s="372"/>
      <c r="AA140" s="372"/>
      <c r="AB140" s="372"/>
      <c r="AC140" s="372"/>
      <c r="AD140" s="372"/>
      <c r="AE140" s="372"/>
      <c r="AF140" s="372"/>
      <c r="AG140" s="372"/>
      <c r="AH140" s="372"/>
      <c r="AI140" s="372"/>
      <c r="AJ140" s="372"/>
      <c r="AK140" s="372"/>
      <c r="AL140" s="372"/>
      <c r="AM140" s="372"/>
    </row>
    <row r="141" spans="23:39" x14ac:dyDescent="0.35">
      <c r="W141" s="371"/>
      <c r="X141" s="371"/>
      <c r="Y141" s="371"/>
      <c r="Z141" s="372"/>
      <c r="AA141" s="372"/>
      <c r="AB141" s="372"/>
      <c r="AC141" s="372"/>
      <c r="AD141" s="372"/>
      <c r="AE141" s="372"/>
      <c r="AF141" s="372"/>
      <c r="AG141" s="372"/>
      <c r="AH141" s="372"/>
      <c r="AI141" s="372"/>
      <c r="AJ141" s="372"/>
      <c r="AK141" s="372"/>
      <c r="AL141" s="372"/>
      <c r="AM141" s="372"/>
    </row>
    <row r="142" spans="23:39" x14ac:dyDescent="0.35">
      <c r="W142" s="371"/>
      <c r="X142" s="371"/>
      <c r="Y142" s="371"/>
      <c r="Z142" s="372"/>
      <c r="AA142" s="372"/>
      <c r="AB142" s="372"/>
      <c r="AC142" s="372"/>
      <c r="AD142" s="372"/>
      <c r="AE142" s="372"/>
      <c r="AF142" s="372"/>
      <c r="AG142" s="372"/>
      <c r="AH142" s="372"/>
      <c r="AI142" s="372"/>
      <c r="AJ142" s="372"/>
      <c r="AK142" s="372"/>
      <c r="AL142" s="372"/>
      <c r="AM142" s="372"/>
    </row>
    <row r="143" spans="23:39" x14ac:dyDescent="0.35">
      <c r="W143" s="371"/>
      <c r="X143" s="371"/>
      <c r="Y143" s="371"/>
      <c r="Z143" s="372"/>
      <c r="AA143" s="372"/>
      <c r="AB143" s="372"/>
      <c r="AC143" s="372"/>
      <c r="AD143" s="372"/>
      <c r="AE143" s="372"/>
      <c r="AF143" s="372"/>
      <c r="AG143" s="372"/>
      <c r="AH143" s="372"/>
      <c r="AI143" s="372"/>
      <c r="AJ143" s="372"/>
      <c r="AK143" s="372"/>
      <c r="AL143" s="372"/>
      <c r="AM143" s="372"/>
    </row>
    <row r="144" spans="23:39" x14ac:dyDescent="0.35">
      <c r="W144" s="371"/>
      <c r="X144" s="371"/>
      <c r="Y144" s="371"/>
      <c r="Z144" s="372"/>
      <c r="AA144" s="372"/>
      <c r="AB144" s="372"/>
      <c r="AC144" s="372"/>
      <c r="AD144" s="372"/>
      <c r="AE144" s="372"/>
      <c r="AF144" s="372"/>
      <c r="AG144" s="372"/>
      <c r="AH144" s="372"/>
      <c r="AI144" s="372"/>
      <c r="AJ144" s="372"/>
      <c r="AK144" s="372"/>
      <c r="AL144" s="372"/>
      <c r="AM144" s="372"/>
    </row>
    <row r="145" spans="23:39" x14ac:dyDescent="0.35">
      <c r="W145" s="371"/>
      <c r="X145" s="371"/>
      <c r="Y145" s="371"/>
      <c r="Z145" s="372"/>
      <c r="AA145" s="372"/>
      <c r="AB145" s="372"/>
      <c r="AC145" s="372"/>
      <c r="AD145" s="372"/>
      <c r="AE145" s="372"/>
      <c r="AF145" s="372"/>
      <c r="AG145" s="372"/>
      <c r="AH145" s="372"/>
      <c r="AI145" s="372"/>
      <c r="AJ145" s="372"/>
      <c r="AK145" s="372"/>
      <c r="AL145" s="372"/>
      <c r="AM145" s="372"/>
    </row>
    <row r="146" spans="23:39" x14ac:dyDescent="0.35">
      <c r="W146" s="371"/>
      <c r="X146" s="371"/>
      <c r="Y146" s="371"/>
      <c r="Z146" s="372"/>
      <c r="AA146" s="372"/>
      <c r="AB146" s="372"/>
      <c r="AC146" s="372"/>
      <c r="AD146" s="372"/>
      <c r="AE146" s="372"/>
      <c r="AF146" s="372"/>
      <c r="AG146" s="372"/>
      <c r="AH146" s="372"/>
      <c r="AI146" s="372"/>
      <c r="AJ146" s="372"/>
      <c r="AK146" s="372"/>
      <c r="AL146" s="372"/>
      <c r="AM146" s="372"/>
    </row>
    <row r="147" spans="23:39" x14ac:dyDescent="0.35">
      <c r="W147" s="371"/>
      <c r="X147" s="371"/>
      <c r="Y147" s="371"/>
      <c r="Z147" s="372"/>
      <c r="AA147" s="372"/>
      <c r="AB147" s="372"/>
      <c r="AC147" s="372"/>
      <c r="AD147" s="372"/>
      <c r="AE147" s="372"/>
      <c r="AF147" s="372"/>
      <c r="AG147" s="372"/>
      <c r="AH147" s="372"/>
      <c r="AI147" s="372"/>
      <c r="AJ147" s="372"/>
      <c r="AK147" s="372"/>
      <c r="AL147" s="372"/>
      <c r="AM147" s="372"/>
    </row>
    <row r="148" spans="23:39" x14ac:dyDescent="0.35">
      <c r="W148" s="371"/>
      <c r="X148" s="371"/>
      <c r="Y148" s="371"/>
      <c r="Z148" s="372"/>
      <c r="AA148" s="372"/>
      <c r="AB148" s="372"/>
      <c r="AC148" s="372"/>
      <c r="AD148" s="372"/>
      <c r="AE148" s="372"/>
      <c r="AF148" s="372"/>
      <c r="AG148" s="372"/>
      <c r="AH148" s="372"/>
      <c r="AI148" s="372"/>
      <c r="AJ148" s="372"/>
      <c r="AK148" s="372"/>
      <c r="AL148" s="372"/>
      <c r="AM148" s="372"/>
    </row>
    <row r="149" spans="23:39" x14ac:dyDescent="0.35">
      <c r="W149" s="371"/>
      <c r="X149" s="371"/>
      <c r="Y149" s="371"/>
      <c r="Z149" s="372"/>
      <c r="AA149" s="372"/>
      <c r="AB149" s="372"/>
      <c r="AC149" s="372"/>
      <c r="AD149" s="372"/>
      <c r="AE149" s="372"/>
      <c r="AF149" s="372"/>
      <c r="AG149" s="372"/>
      <c r="AH149" s="372"/>
      <c r="AI149" s="372"/>
      <c r="AJ149" s="372"/>
      <c r="AK149" s="372"/>
      <c r="AL149" s="372"/>
      <c r="AM149" s="372"/>
    </row>
    <row r="150" spans="23:39" x14ac:dyDescent="0.35">
      <c r="W150" s="371"/>
      <c r="X150" s="371"/>
      <c r="Y150" s="371"/>
      <c r="Z150" s="372"/>
      <c r="AA150" s="372"/>
      <c r="AB150" s="372"/>
      <c r="AC150" s="372"/>
      <c r="AD150" s="372"/>
      <c r="AE150" s="372"/>
      <c r="AF150" s="372"/>
      <c r="AG150" s="372"/>
      <c r="AH150" s="372"/>
      <c r="AI150" s="372"/>
      <c r="AJ150" s="372"/>
      <c r="AK150" s="372"/>
      <c r="AL150" s="372"/>
      <c r="AM150" s="372"/>
    </row>
    <row r="151" spans="23:39" x14ac:dyDescent="0.35">
      <c r="W151" s="371"/>
      <c r="X151" s="371"/>
      <c r="Y151" s="371"/>
      <c r="Z151" s="372"/>
      <c r="AA151" s="372"/>
      <c r="AB151" s="372"/>
      <c r="AC151" s="372"/>
      <c r="AD151" s="372"/>
      <c r="AE151" s="372"/>
      <c r="AF151" s="372"/>
      <c r="AG151" s="372"/>
      <c r="AH151" s="372"/>
      <c r="AI151" s="372"/>
      <c r="AJ151" s="372"/>
      <c r="AK151" s="372"/>
      <c r="AL151" s="372"/>
      <c r="AM151" s="372"/>
    </row>
    <row r="152" spans="23:39" x14ac:dyDescent="0.35">
      <c r="W152" s="371"/>
      <c r="X152" s="371"/>
      <c r="Y152" s="371"/>
      <c r="Z152" s="372"/>
      <c r="AA152" s="372"/>
      <c r="AB152" s="372"/>
      <c r="AC152" s="372"/>
      <c r="AD152" s="372"/>
      <c r="AE152" s="372"/>
      <c r="AF152" s="372"/>
      <c r="AG152" s="372"/>
      <c r="AH152" s="372"/>
      <c r="AI152" s="372"/>
      <c r="AJ152" s="372"/>
      <c r="AK152" s="372"/>
      <c r="AL152" s="372"/>
      <c r="AM152" s="372"/>
    </row>
    <row r="153" spans="23:39" x14ac:dyDescent="0.35">
      <c r="W153" s="371"/>
      <c r="X153" s="371"/>
      <c r="Y153" s="371"/>
      <c r="Z153" s="372"/>
      <c r="AA153" s="372"/>
      <c r="AB153" s="372"/>
      <c r="AC153" s="372"/>
      <c r="AD153" s="372"/>
      <c r="AE153" s="372"/>
      <c r="AF153" s="372"/>
      <c r="AG153" s="372"/>
      <c r="AH153" s="372"/>
      <c r="AI153" s="372"/>
      <c r="AJ153" s="372"/>
      <c r="AK153" s="372"/>
      <c r="AL153" s="372"/>
      <c r="AM153" s="372"/>
    </row>
    <row r="154" spans="23:39" x14ac:dyDescent="0.35">
      <c r="W154" s="371"/>
      <c r="X154" s="371"/>
      <c r="Y154" s="371"/>
      <c r="Z154" s="372"/>
      <c r="AA154" s="372"/>
      <c r="AB154" s="372"/>
      <c r="AC154" s="372"/>
      <c r="AD154" s="372"/>
      <c r="AE154" s="372"/>
      <c r="AF154" s="372"/>
      <c r="AG154" s="372"/>
      <c r="AH154" s="372"/>
      <c r="AI154" s="372"/>
      <c r="AJ154" s="372"/>
      <c r="AK154" s="372"/>
      <c r="AL154" s="372"/>
      <c r="AM154" s="372"/>
    </row>
    <row r="155" spans="23:39" x14ac:dyDescent="0.35">
      <c r="W155" s="371"/>
      <c r="X155" s="371"/>
      <c r="Y155" s="371"/>
      <c r="Z155" s="372"/>
      <c r="AA155" s="372"/>
      <c r="AB155" s="372"/>
      <c r="AC155" s="372"/>
      <c r="AD155" s="372"/>
      <c r="AE155" s="372"/>
      <c r="AF155" s="372"/>
      <c r="AG155" s="372"/>
      <c r="AH155" s="372"/>
      <c r="AI155" s="372"/>
      <c r="AJ155" s="372"/>
      <c r="AK155" s="372"/>
      <c r="AL155" s="372"/>
      <c r="AM155" s="372"/>
    </row>
    <row r="156" spans="23:39" x14ac:dyDescent="0.35">
      <c r="W156" s="371"/>
      <c r="X156" s="371"/>
      <c r="Y156" s="371"/>
      <c r="Z156" s="372"/>
      <c r="AA156" s="372"/>
      <c r="AB156" s="372"/>
      <c r="AC156" s="372"/>
      <c r="AD156" s="372"/>
      <c r="AE156" s="372"/>
      <c r="AF156" s="372"/>
      <c r="AG156" s="372"/>
      <c r="AH156" s="372"/>
      <c r="AI156" s="372"/>
      <c r="AJ156" s="372"/>
      <c r="AK156" s="372"/>
      <c r="AL156" s="372"/>
      <c r="AM156" s="372"/>
    </row>
    <row r="157" spans="23:39" x14ac:dyDescent="0.35">
      <c r="W157" s="371"/>
      <c r="X157" s="371"/>
      <c r="Y157" s="371"/>
      <c r="Z157" s="372"/>
      <c r="AA157" s="372"/>
      <c r="AB157" s="372"/>
      <c r="AC157" s="372"/>
      <c r="AD157" s="372"/>
      <c r="AE157" s="372"/>
      <c r="AF157" s="372"/>
      <c r="AG157" s="372"/>
      <c r="AH157" s="372"/>
      <c r="AI157" s="372"/>
      <c r="AJ157" s="372"/>
      <c r="AK157" s="372"/>
      <c r="AL157" s="372"/>
      <c r="AM157" s="372"/>
    </row>
    <row r="158" spans="23:39" x14ac:dyDescent="0.35">
      <c r="W158" s="371"/>
      <c r="X158" s="371"/>
      <c r="Y158" s="371"/>
      <c r="Z158" s="372"/>
      <c r="AA158" s="372"/>
      <c r="AB158" s="372"/>
      <c r="AC158" s="372"/>
      <c r="AD158" s="372"/>
      <c r="AE158" s="372"/>
      <c r="AF158" s="372"/>
      <c r="AG158" s="372"/>
      <c r="AH158" s="372"/>
      <c r="AI158" s="372"/>
      <c r="AJ158" s="372"/>
      <c r="AK158" s="372"/>
      <c r="AL158" s="372"/>
      <c r="AM158" s="372"/>
    </row>
    <row r="159" spans="23:39" x14ac:dyDescent="0.35">
      <c r="W159" s="371"/>
      <c r="X159" s="371"/>
      <c r="Y159" s="371"/>
      <c r="Z159" s="372"/>
      <c r="AA159" s="372"/>
      <c r="AB159" s="372"/>
      <c r="AC159" s="372"/>
      <c r="AD159" s="372"/>
      <c r="AE159" s="372"/>
      <c r="AF159" s="372"/>
      <c r="AG159" s="372"/>
      <c r="AH159" s="372"/>
      <c r="AI159" s="372"/>
      <c r="AJ159" s="372"/>
      <c r="AK159" s="372"/>
      <c r="AL159" s="372"/>
      <c r="AM159" s="372"/>
    </row>
    <row r="160" spans="23:39" x14ac:dyDescent="0.35">
      <c r="W160" s="371"/>
      <c r="X160" s="371"/>
      <c r="Y160" s="371"/>
      <c r="Z160" s="372"/>
      <c r="AA160" s="372"/>
      <c r="AB160" s="372"/>
      <c r="AC160" s="372"/>
      <c r="AD160" s="372"/>
      <c r="AE160" s="372"/>
      <c r="AF160" s="372"/>
      <c r="AG160" s="372"/>
      <c r="AH160" s="372"/>
      <c r="AI160" s="372"/>
      <c r="AJ160" s="372"/>
      <c r="AK160" s="372"/>
      <c r="AL160" s="372"/>
      <c r="AM160" s="372"/>
    </row>
    <row r="161" spans="23:39" x14ac:dyDescent="0.35">
      <c r="W161" s="371"/>
      <c r="X161" s="371"/>
      <c r="Y161" s="371"/>
      <c r="Z161" s="372"/>
      <c r="AA161" s="372"/>
      <c r="AB161" s="372"/>
      <c r="AC161" s="372"/>
      <c r="AD161" s="372"/>
      <c r="AE161" s="372"/>
      <c r="AF161" s="372"/>
      <c r="AG161" s="372"/>
      <c r="AH161" s="372"/>
      <c r="AI161" s="372"/>
      <c r="AJ161" s="372"/>
      <c r="AK161" s="372"/>
      <c r="AL161" s="372"/>
      <c r="AM161" s="372"/>
    </row>
    <row r="162" spans="23:39" x14ac:dyDescent="0.35">
      <c r="W162" s="371"/>
      <c r="X162" s="371"/>
      <c r="Y162" s="371"/>
      <c r="Z162" s="372"/>
      <c r="AA162" s="372"/>
      <c r="AB162" s="372"/>
      <c r="AC162" s="372"/>
      <c r="AD162" s="372"/>
      <c r="AE162" s="372"/>
      <c r="AF162" s="372"/>
      <c r="AG162" s="372"/>
      <c r="AH162" s="372"/>
      <c r="AI162" s="372"/>
      <c r="AJ162" s="372"/>
      <c r="AK162" s="372"/>
      <c r="AL162" s="372"/>
      <c r="AM162" s="372"/>
    </row>
    <row r="163" spans="23:39" x14ac:dyDescent="0.35">
      <c r="W163" s="371"/>
      <c r="X163" s="371"/>
      <c r="Y163" s="371"/>
      <c r="Z163" s="372"/>
      <c r="AA163" s="372"/>
      <c r="AB163" s="372"/>
      <c r="AC163" s="372"/>
      <c r="AD163" s="372"/>
      <c r="AE163" s="372"/>
      <c r="AF163" s="372"/>
      <c r="AG163" s="372"/>
      <c r="AH163" s="372"/>
      <c r="AI163" s="372"/>
      <c r="AJ163" s="372"/>
      <c r="AK163" s="372"/>
      <c r="AL163" s="372"/>
      <c r="AM163" s="372"/>
    </row>
    <row r="164" spans="23:39" x14ac:dyDescent="0.35">
      <c r="W164" s="371"/>
      <c r="X164" s="371"/>
      <c r="Y164" s="371"/>
      <c r="Z164" s="372"/>
      <c r="AA164" s="372"/>
      <c r="AB164" s="372"/>
      <c r="AC164" s="372"/>
      <c r="AD164" s="372"/>
      <c r="AE164" s="372"/>
      <c r="AF164" s="372"/>
      <c r="AG164" s="372"/>
      <c r="AH164" s="372"/>
      <c r="AI164" s="372"/>
      <c r="AJ164" s="372"/>
      <c r="AK164" s="372"/>
      <c r="AL164" s="372"/>
      <c r="AM164" s="372"/>
    </row>
    <row r="165" spans="23:39" x14ac:dyDescent="0.35">
      <c r="W165" s="371"/>
      <c r="X165" s="371"/>
      <c r="Y165" s="371"/>
      <c r="Z165" s="372"/>
      <c r="AA165" s="372"/>
      <c r="AB165" s="372"/>
      <c r="AC165" s="372"/>
      <c r="AD165" s="372"/>
      <c r="AE165" s="372"/>
      <c r="AF165" s="372"/>
      <c r="AG165" s="372"/>
      <c r="AH165" s="372"/>
      <c r="AI165" s="372"/>
      <c r="AJ165" s="372"/>
      <c r="AK165" s="372"/>
      <c r="AL165" s="372"/>
      <c r="AM165" s="372"/>
    </row>
    <row r="166" spans="23:39" x14ac:dyDescent="0.35">
      <c r="W166" s="371"/>
      <c r="X166" s="371"/>
      <c r="Y166" s="371"/>
      <c r="Z166" s="372"/>
      <c r="AA166" s="372"/>
      <c r="AB166" s="372"/>
      <c r="AC166" s="372"/>
      <c r="AD166" s="372"/>
      <c r="AE166" s="372"/>
      <c r="AF166" s="372"/>
      <c r="AG166" s="372"/>
      <c r="AH166" s="372"/>
      <c r="AI166" s="372"/>
      <c r="AJ166" s="372"/>
      <c r="AK166" s="372"/>
      <c r="AL166" s="372"/>
      <c r="AM166" s="372"/>
    </row>
    <row r="167" spans="23:39" x14ac:dyDescent="0.35">
      <c r="W167" s="371"/>
      <c r="X167" s="371"/>
      <c r="Y167" s="371"/>
      <c r="Z167" s="372"/>
      <c r="AA167" s="372"/>
      <c r="AB167" s="372"/>
      <c r="AC167" s="372"/>
      <c r="AD167" s="372"/>
      <c r="AE167" s="372"/>
      <c r="AF167" s="372"/>
      <c r="AG167" s="372"/>
      <c r="AH167" s="372"/>
      <c r="AI167" s="372"/>
      <c r="AJ167" s="372"/>
      <c r="AK167" s="372"/>
      <c r="AL167" s="372"/>
      <c r="AM167" s="372"/>
    </row>
    <row r="168" spans="23:39" x14ac:dyDescent="0.35">
      <c r="W168" s="371"/>
      <c r="X168" s="371"/>
      <c r="Y168" s="371"/>
      <c r="Z168" s="372"/>
      <c r="AA168" s="372"/>
      <c r="AB168" s="372"/>
      <c r="AC168" s="372"/>
      <c r="AD168" s="372"/>
      <c r="AE168" s="372"/>
      <c r="AF168" s="372"/>
      <c r="AG168" s="372"/>
      <c r="AH168" s="372"/>
      <c r="AI168" s="372"/>
      <c r="AJ168" s="372"/>
      <c r="AK168" s="372"/>
      <c r="AL168" s="372"/>
      <c r="AM168" s="372"/>
    </row>
    <row r="169" spans="23:39" x14ac:dyDescent="0.35">
      <c r="W169" s="371"/>
      <c r="X169" s="371"/>
      <c r="Y169" s="371"/>
      <c r="Z169" s="372"/>
      <c r="AA169" s="372"/>
      <c r="AB169" s="372"/>
      <c r="AC169" s="372"/>
      <c r="AD169" s="372"/>
      <c r="AE169" s="372"/>
      <c r="AF169" s="372"/>
      <c r="AG169" s="372"/>
      <c r="AH169" s="372"/>
      <c r="AI169" s="372"/>
      <c r="AJ169" s="372"/>
      <c r="AK169" s="372"/>
      <c r="AL169" s="372"/>
      <c r="AM169" s="372"/>
    </row>
    <row r="170" spans="23:39" x14ac:dyDescent="0.35">
      <c r="W170" s="371"/>
      <c r="X170" s="371"/>
      <c r="Y170" s="371"/>
      <c r="Z170" s="372"/>
      <c r="AA170" s="372"/>
      <c r="AB170" s="372"/>
      <c r="AC170" s="372"/>
      <c r="AD170" s="372"/>
      <c r="AE170" s="372"/>
      <c r="AF170" s="372"/>
      <c r="AG170" s="372"/>
      <c r="AH170" s="372"/>
      <c r="AI170" s="372"/>
      <c r="AJ170" s="372"/>
      <c r="AK170" s="372"/>
      <c r="AL170" s="372"/>
      <c r="AM170" s="372"/>
    </row>
    <row r="171" spans="23:39" x14ac:dyDescent="0.35">
      <c r="W171" s="371"/>
      <c r="X171" s="371"/>
      <c r="Y171" s="371"/>
      <c r="Z171" s="372"/>
      <c r="AA171" s="372"/>
      <c r="AB171" s="372"/>
      <c r="AC171" s="372"/>
      <c r="AD171" s="372"/>
      <c r="AE171" s="372"/>
      <c r="AF171" s="372"/>
      <c r="AG171" s="372"/>
      <c r="AH171" s="372"/>
      <c r="AI171" s="372"/>
      <c r="AJ171" s="372"/>
      <c r="AK171" s="372"/>
      <c r="AL171" s="372"/>
      <c r="AM171" s="372"/>
    </row>
    <row r="172" spans="23:39" x14ac:dyDescent="0.35">
      <c r="W172" s="371"/>
      <c r="X172" s="371"/>
      <c r="Y172" s="371"/>
      <c r="Z172" s="372"/>
      <c r="AA172" s="372"/>
      <c r="AB172" s="372"/>
      <c r="AC172" s="372"/>
      <c r="AD172" s="372"/>
      <c r="AE172" s="372"/>
      <c r="AF172" s="372"/>
      <c r="AG172" s="372"/>
      <c r="AH172" s="372"/>
      <c r="AI172" s="372"/>
      <c r="AJ172" s="372"/>
      <c r="AK172" s="372"/>
      <c r="AL172" s="372"/>
      <c r="AM172" s="372"/>
    </row>
    <row r="173" spans="23:39" x14ac:dyDescent="0.35">
      <c r="W173" s="371"/>
      <c r="X173" s="371"/>
      <c r="Y173" s="371"/>
      <c r="Z173" s="372"/>
      <c r="AA173" s="372"/>
      <c r="AB173" s="372"/>
      <c r="AC173" s="372"/>
      <c r="AD173" s="372"/>
      <c r="AE173" s="372"/>
      <c r="AF173" s="372"/>
      <c r="AG173" s="372"/>
      <c r="AH173" s="372"/>
      <c r="AI173" s="372"/>
      <c r="AJ173" s="372"/>
      <c r="AK173" s="372"/>
      <c r="AL173" s="372"/>
      <c r="AM173" s="372"/>
    </row>
    <row r="174" spans="23:39" x14ac:dyDescent="0.35">
      <c r="W174" s="371"/>
      <c r="X174" s="371"/>
      <c r="Y174" s="371"/>
      <c r="Z174" s="372"/>
      <c r="AA174" s="372"/>
      <c r="AB174" s="372"/>
      <c r="AC174" s="372"/>
      <c r="AD174" s="372"/>
      <c r="AE174" s="372"/>
      <c r="AF174" s="372"/>
      <c r="AG174" s="372"/>
      <c r="AH174" s="372"/>
      <c r="AI174" s="372"/>
      <c r="AJ174" s="372"/>
      <c r="AK174" s="372"/>
      <c r="AL174" s="372"/>
      <c r="AM174" s="372"/>
    </row>
    <row r="175" spans="23:39" x14ac:dyDescent="0.35">
      <c r="W175" s="371"/>
      <c r="X175" s="371"/>
      <c r="Y175" s="371"/>
      <c r="Z175" s="372"/>
      <c r="AA175" s="372"/>
      <c r="AB175" s="372"/>
      <c r="AC175" s="372"/>
      <c r="AD175" s="372"/>
      <c r="AE175" s="372"/>
      <c r="AF175" s="372"/>
      <c r="AG175" s="372"/>
      <c r="AH175" s="372"/>
      <c r="AI175" s="372"/>
      <c r="AJ175" s="372"/>
      <c r="AK175" s="372"/>
      <c r="AL175" s="372"/>
      <c r="AM175" s="372"/>
    </row>
    <row r="176" spans="23:39" x14ac:dyDescent="0.35">
      <c r="W176" s="371"/>
      <c r="X176" s="371"/>
      <c r="Y176" s="371"/>
      <c r="Z176" s="372"/>
      <c r="AA176" s="372"/>
      <c r="AB176" s="372"/>
      <c r="AC176" s="372"/>
      <c r="AD176" s="372"/>
      <c r="AE176" s="372"/>
      <c r="AF176" s="372"/>
      <c r="AG176" s="372"/>
      <c r="AH176" s="372"/>
      <c r="AI176" s="372"/>
      <c r="AJ176" s="372"/>
      <c r="AK176" s="372"/>
      <c r="AL176" s="372"/>
      <c r="AM176" s="372"/>
    </row>
    <row r="177" spans="23:39" x14ac:dyDescent="0.35">
      <c r="W177" s="371"/>
      <c r="X177" s="371"/>
      <c r="Y177" s="371"/>
      <c r="Z177" s="372"/>
      <c r="AA177" s="372"/>
      <c r="AB177" s="372"/>
      <c r="AC177" s="372"/>
      <c r="AD177" s="372"/>
      <c r="AE177" s="372"/>
      <c r="AF177" s="372"/>
      <c r="AG177" s="372"/>
      <c r="AH177" s="372"/>
      <c r="AI177" s="372"/>
      <c r="AJ177" s="372"/>
      <c r="AK177" s="372"/>
      <c r="AL177" s="372"/>
      <c r="AM177" s="372"/>
    </row>
    <row r="178" spans="23:39" x14ac:dyDescent="0.35">
      <c r="W178" s="371"/>
      <c r="X178" s="371"/>
      <c r="Y178" s="371"/>
      <c r="Z178" s="372"/>
      <c r="AA178" s="372"/>
      <c r="AB178" s="372"/>
      <c r="AC178" s="372"/>
      <c r="AD178" s="372"/>
      <c r="AE178" s="372"/>
      <c r="AF178" s="372"/>
      <c r="AG178" s="372"/>
      <c r="AH178" s="372"/>
      <c r="AI178" s="372"/>
      <c r="AJ178" s="372"/>
      <c r="AK178" s="372"/>
      <c r="AL178" s="372"/>
      <c r="AM178" s="372"/>
    </row>
    <row r="179" spans="23:39" x14ac:dyDescent="0.35">
      <c r="W179" s="371"/>
      <c r="X179" s="371"/>
      <c r="Y179" s="371"/>
      <c r="Z179" s="372"/>
      <c r="AA179" s="372"/>
      <c r="AB179" s="372"/>
      <c r="AC179" s="372"/>
      <c r="AD179" s="372"/>
      <c r="AE179" s="372"/>
      <c r="AF179" s="372"/>
      <c r="AG179" s="372"/>
      <c r="AH179" s="372"/>
      <c r="AI179" s="372"/>
      <c r="AJ179" s="372"/>
      <c r="AK179" s="372"/>
      <c r="AL179" s="372"/>
      <c r="AM179" s="372"/>
    </row>
    <row r="180" spans="23:39" x14ac:dyDescent="0.35">
      <c r="W180" s="371"/>
      <c r="X180" s="371"/>
      <c r="Y180" s="371"/>
      <c r="Z180" s="372"/>
      <c r="AA180" s="372"/>
      <c r="AB180" s="372"/>
      <c r="AC180" s="372"/>
      <c r="AD180" s="372"/>
      <c r="AE180" s="372"/>
      <c r="AF180" s="372"/>
      <c r="AG180" s="372"/>
      <c r="AH180" s="372"/>
      <c r="AI180" s="372"/>
      <c r="AJ180" s="372"/>
      <c r="AK180" s="372"/>
      <c r="AL180" s="372"/>
      <c r="AM180" s="372"/>
    </row>
    <row r="181" spans="23:39" x14ac:dyDescent="0.35">
      <c r="W181" s="371"/>
      <c r="X181" s="371"/>
      <c r="Y181" s="371"/>
      <c r="Z181" s="372"/>
      <c r="AA181" s="372"/>
      <c r="AB181" s="372"/>
      <c r="AC181" s="372"/>
      <c r="AD181" s="372"/>
      <c r="AE181" s="372"/>
      <c r="AF181" s="372"/>
      <c r="AG181" s="372"/>
      <c r="AH181" s="372"/>
      <c r="AI181" s="372"/>
      <c r="AJ181" s="372"/>
      <c r="AK181" s="372"/>
      <c r="AL181" s="372"/>
      <c r="AM181" s="372"/>
    </row>
    <row r="182" spans="23:39" x14ac:dyDescent="0.35">
      <c r="W182" s="371"/>
      <c r="X182" s="371"/>
      <c r="Y182" s="371"/>
      <c r="Z182" s="372"/>
      <c r="AA182" s="372"/>
      <c r="AB182" s="372"/>
      <c r="AC182" s="372"/>
      <c r="AD182" s="372"/>
      <c r="AE182" s="372"/>
      <c r="AF182" s="372"/>
      <c r="AG182" s="372"/>
      <c r="AH182" s="372"/>
      <c r="AI182" s="372"/>
      <c r="AJ182" s="372"/>
      <c r="AK182" s="372"/>
      <c r="AL182" s="372"/>
      <c r="AM182" s="372"/>
    </row>
    <row r="183" spans="23:39" x14ac:dyDescent="0.35">
      <c r="W183" s="371"/>
      <c r="X183" s="371"/>
      <c r="Y183" s="371"/>
      <c r="Z183" s="372"/>
      <c r="AA183" s="372"/>
      <c r="AB183" s="372"/>
      <c r="AC183" s="372"/>
      <c r="AD183" s="372"/>
      <c r="AE183" s="372"/>
      <c r="AF183" s="372"/>
      <c r="AG183" s="372"/>
      <c r="AH183" s="372"/>
      <c r="AI183" s="372"/>
      <c r="AJ183" s="372"/>
      <c r="AK183" s="372"/>
      <c r="AL183" s="372"/>
      <c r="AM183" s="372"/>
    </row>
    <row r="184" spans="23:39" x14ac:dyDescent="0.35">
      <c r="W184" s="371"/>
      <c r="X184" s="371"/>
      <c r="Y184" s="371"/>
      <c r="Z184" s="372"/>
      <c r="AA184" s="372"/>
      <c r="AB184" s="372"/>
      <c r="AC184" s="372"/>
      <c r="AD184" s="372"/>
      <c r="AE184" s="372"/>
      <c r="AF184" s="372"/>
      <c r="AG184" s="372"/>
      <c r="AH184" s="372"/>
      <c r="AI184" s="372"/>
      <c r="AJ184" s="372"/>
      <c r="AK184" s="372"/>
      <c r="AL184" s="372"/>
      <c r="AM184" s="372"/>
    </row>
    <row r="185" spans="23:39" x14ac:dyDescent="0.35">
      <c r="W185" s="371"/>
      <c r="X185" s="371"/>
      <c r="Y185" s="371"/>
      <c r="Z185" s="372"/>
      <c r="AA185" s="372"/>
      <c r="AB185" s="372"/>
      <c r="AC185" s="372"/>
      <c r="AD185" s="372"/>
      <c r="AE185" s="372"/>
      <c r="AF185" s="372"/>
      <c r="AG185" s="372"/>
      <c r="AH185" s="372"/>
      <c r="AI185" s="372"/>
      <c r="AJ185" s="372"/>
      <c r="AK185" s="372"/>
      <c r="AL185" s="372"/>
      <c r="AM185" s="372"/>
    </row>
    <row r="186" spans="23:39" x14ac:dyDescent="0.35">
      <c r="W186" s="371"/>
      <c r="X186" s="371"/>
      <c r="Y186" s="371"/>
      <c r="Z186" s="372"/>
      <c r="AA186" s="372"/>
      <c r="AB186" s="372"/>
      <c r="AC186" s="372"/>
      <c r="AD186" s="372"/>
      <c r="AE186" s="372"/>
      <c r="AF186" s="372"/>
      <c r="AG186" s="372"/>
      <c r="AH186" s="372"/>
      <c r="AI186" s="372"/>
      <c r="AJ186" s="372"/>
      <c r="AK186" s="372"/>
      <c r="AL186" s="372"/>
      <c r="AM186" s="372"/>
    </row>
    <row r="187" spans="23:39" x14ac:dyDescent="0.35">
      <c r="W187" s="371"/>
      <c r="X187" s="371"/>
      <c r="Y187" s="371"/>
      <c r="Z187" s="372"/>
      <c r="AA187" s="372"/>
      <c r="AB187" s="372"/>
      <c r="AC187" s="372"/>
      <c r="AD187" s="372"/>
      <c r="AE187" s="372"/>
      <c r="AF187" s="372"/>
      <c r="AG187" s="372"/>
      <c r="AH187" s="372"/>
      <c r="AI187" s="372"/>
      <c r="AJ187" s="372"/>
      <c r="AK187" s="372"/>
      <c r="AL187" s="372"/>
      <c r="AM187" s="372"/>
    </row>
    <row r="188" spans="23:39" x14ac:dyDescent="0.35">
      <c r="W188" s="371"/>
      <c r="X188" s="371"/>
      <c r="Y188" s="371"/>
      <c r="Z188" s="372"/>
      <c r="AA188" s="372"/>
      <c r="AB188" s="372"/>
      <c r="AC188" s="372"/>
      <c r="AD188" s="372"/>
      <c r="AE188" s="372"/>
      <c r="AF188" s="372"/>
      <c r="AG188" s="372"/>
      <c r="AH188" s="372"/>
      <c r="AI188" s="372"/>
      <c r="AJ188" s="372"/>
      <c r="AK188" s="372"/>
      <c r="AL188" s="372"/>
      <c r="AM188" s="372"/>
    </row>
    <row r="189" spans="23:39" x14ac:dyDescent="0.35">
      <c r="W189" s="371"/>
      <c r="X189" s="371"/>
      <c r="Y189" s="371"/>
      <c r="Z189" s="372"/>
      <c r="AA189" s="372"/>
      <c r="AB189" s="372"/>
      <c r="AC189" s="372"/>
      <c r="AD189" s="372"/>
      <c r="AE189" s="372"/>
      <c r="AF189" s="372"/>
      <c r="AG189" s="372"/>
      <c r="AH189" s="372"/>
      <c r="AI189" s="372"/>
      <c r="AJ189" s="372"/>
      <c r="AK189" s="372"/>
      <c r="AL189" s="372"/>
      <c r="AM189" s="372"/>
    </row>
    <row r="190" spans="23:39" x14ac:dyDescent="0.35">
      <c r="W190" s="371"/>
      <c r="X190" s="371"/>
      <c r="Y190" s="371"/>
      <c r="Z190" s="372"/>
      <c r="AA190" s="372"/>
      <c r="AB190" s="372"/>
      <c r="AC190" s="372"/>
      <c r="AD190" s="372"/>
      <c r="AE190" s="372"/>
      <c r="AF190" s="372"/>
      <c r="AG190" s="372"/>
      <c r="AH190" s="372"/>
      <c r="AI190" s="372"/>
      <c r="AJ190" s="372"/>
      <c r="AK190" s="372"/>
      <c r="AL190" s="372"/>
      <c r="AM190" s="372"/>
    </row>
    <row r="191" spans="23:39" x14ac:dyDescent="0.35">
      <c r="W191" s="371"/>
      <c r="X191" s="371"/>
      <c r="Y191" s="371"/>
      <c r="Z191" s="372"/>
      <c r="AA191" s="372"/>
      <c r="AB191" s="372"/>
      <c r="AC191" s="372"/>
      <c r="AD191" s="372"/>
      <c r="AE191" s="372"/>
      <c r="AF191" s="372"/>
      <c r="AG191" s="372"/>
      <c r="AH191" s="372"/>
      <c r="AI191" s="372"/>
      <c r="AJ191" s="372"/>
      <c r="AK191" s="372"/>
      <c r="AL191" s="372"/>
      <c r="AM191" s="372"/>
    </row>
    <row r="192" spans="23:39" x14ac:dyDescent="0.35">
      <c r="W192" s="371"/>
      <c r="X192" s="371"/>
      <c r="Y192" s="371"/>
      <c r="Z192" s="372"/>
      <c r="AA192" s="372"/>
      <c r="AB192" s="372"/>
      <c r="AC192" s="372"/>
      <c r="AD192" s="372"/>
      <c r="AE192" s="372"/>
      <c r="AF192" s="372"/>
      <c r="AG192" s="372"/>
      <c r="AH192" s="372"/>
      <c r="AI192" s="372"/>
      <c r="AJ192" s="372"/>
      <c r="AK192" s="372"/>
      <c r="AL192" s="372"/>
      <c r="AM192" s="372"/>
    </row>
    <row r="193" spans="23:39" x14ac:dyDescent="0.35">
      <c r="W193" s="371"/>
      <c r="X193" s="371"/>
      <c r="Y193" s="371"/>
      <c r="Z193" s="372"/>
      <c r="AA193" s="372"/>
      <c r="AB193" s="372"/>
      <c r="AC193" s="372"/>
      <c r="AD193" s="372"/>
      <c r="AE193" s="372"/>
      <c r="AF193" s="372"/>
      <c r="AG193" s="372"/>
      <c r="AH193" s="372"/>
      <c r="AI193" s="372"/>
      <c r="AJ193" s="372"/>
      <c r="AK193" s="372"/>
      <c r="AL193" s="372"/>
      <c r="AM193" s="372"/>
    </row>
    <row r="194" spans="23:39" x14ac:dyDescent="0.35">
      <c r="W194" s="371"/>
      <c r="X194" s="371"/>
      <c r="Y194" s="371"/>
      <c r="Z194" s="372"/>
      <c r="AA194" s="372"/>
      <c r="AB194" s="372"/>
      <c r="AC194" s="372"/>
      <c r="AD194" s="372"/>
      <c r="AE194" s="372"/>
      <c r="AF194" s="372"/>
      <c r="AG194" s="372"/>
      <c r="AH194" s="372"/>
      <c r="AI194" s="372"/>
      <c r="AJ194" s="372"/>
      <c r="AK194" s="372"/>
      <c r="AL194" s="372"/>
      <c r="AM194" s="372"/>
    </row>
    <row r="195" spans="23:39" x14ac:dyDescent="0.35">
      <c r="W195" s="371"/>
      <c r="X195" s="371"/>
      <c r="Y195" s="371"/>
      <c r="Z195" s="372"/>
      <c r="AA195" s="372"/>
      <c r="AB195" s="372"/>
      <c r="AC195" s="372"/>
      <c r="AD195" s="372"/>
      <c r="AE195" s="372"/>
      <c r="AF195" s="372"/>
      <c r="AG195" s="372"/>
      <c r="AH195" s="372"/>
      <c r="AI195" s="372"/>
      <c r="AJ195" s="372"/>
      <c r="AK195" s="372"/>
      <c r="AL195" s="372"/>
      <c r="AM195" s="372"/>
    </row>
    <row r="196" spans="23:39" x14ac:dyDescent="0.35">
      <c r="W196" s="371"/>
      <c r="X196" s="371"/>
      <c r="Y196" s="371"/>
      <c r="Z196" s="372"/>
      <c r="AA196" s="372"/>
      <c r="AB196" s="372"/>
      <c r="AC196" s="372"/>
      <c r="AD196" s="372"/>
      <c r="AE196" s="372"/>
      <c r="AF196" s="372"/>
      <c r="AG196" s="372"/>
      <c r="AH196" s="372"/>
      <c r="AI196" s="372"/>
      <c r="AJ196" s="372"/>
      <c r="AK196" s="372"/>
      <c r="AL196" s="372"/>
      <c r="AM196" s="372"/>
    </row>
    <row r="197" spans="23:39" x14ac:dyDescent="0.35">
      <c r="W197" s="371"/>
      <c r="X197" s="371"/>
      <c r="Y197" s="371"/>
      <c r="Z197" s="372"/>
      <c r="AA197" s="372"/>
      <c r="AB197" s="372"/>
      <c r="AC197" s="372"/>
      <c r="AD197" s="372"/>
      <c r="AE197" s="372"/>
      <c r="AF197" s="372"/>
      <c r="AG197" s="372"/>
      <c r="AH197" s="372"/>
      <c r="AI197" s="372"/>
      <c r="AJ197" s="372"/>
      <c r="AK197" s="372"/>
      <c r="AL197" s="372"/>
      <c r="AM197" s="372"/>
    </row>
    <row r="198" spans="23:39" x14ac:dyDescent="0.35">
      <c r="W198" s="371"/>
      <c r="X198" s="371"/>
      <c r="Y198" s="371"/>
      <c r="Z198" s="372"/>
      <c r="AA198" s="372"/>
      <c r="AB198" s="372"/>
      <c r="AC198" s="372"/>
      <c r="AD198" s="372"/>
      <c r="AE198" s="372"/>
      <c r="AF198" s="372"/>
      <c r="AG198" s="372"/>
      <c r="AH198" s="372"/>
      <c r="AI198" s="372"/>
      <c r="AJ198" s="372"/>
      <c r="AK198" s="372"/>
      <c r="AL198" s="372"/>
      <c r="AM198" s="372"/>
    </row>
    <row r="199" spans="23:39" x14ac:dyDescent="0.35">
      <c r="W199" s="371"/>
      <c r="X199" s="371"/>
      <c r="Y199" s="371"/>
      <c r="Z199" s="372"/>
      <c r="AA199" s="372"/>
      <c r="AB199" s="372"/>
      <c r="AC199" s="372"/>
      <c r="AD199" s="372"/>
      <c r="AE199" s="372"/>
      <c r="AF199" s="372"/>
      <c r="AG199" s="372"/>
      <c r="AH199" s="372"/>
      <c r="AI199" s="372"/>
      <c r="AJ199" s="372"/>
      <c r="AK199" s="372"/>
      <c r="AL199" s="372"/>
      <c r="AM199" s="372"/>
    </row>
    <row r="200" spans="23:39" x14ac:dyDescent="0.35">
      <c r="W200" s="371"/>
      <c r="X200" s="371"/>
      <c r="Y200" s="371"/>
      <c r="Z200" s="372"/>
      <c r="AA200" s="372"/>
      <c r="AB200" s="372"/>
      <c r="AC200" s="372"/>
      <c r="AD200" s="372"/>
      <c r="AE200" s="372"/>
      <c r="AF200" s="372"/>
      <c r="AG200" s="372"/>
      <c r="AH200" s="372"/>
      <c r="AI200" s="372"/>
      <c r="AJ200" s="372"/>
      <c r="AK200" s="372"/>
      <c r="AL200" s="372"/>
      <c r="AM200" s="372"/>
    </row>
    <row r="201" spans="23:39" x14ac:dyDescent="0.35">
      <c r="W201" s="371"/>
      <c r="X201" s="371"/>
      <c r="Y201" s="371"/>
      <c r="Z201" s="372"/>
      <c r="AA201" s="372"/>
      <c r="AB201" s="372"/>
      <c r="AC201" s="372"/>
      <c r="AD201" s="372"/>
      <c r="AE201" s="372"/>
      <c r="AF201" s="372"/>
      <c r="AG201" s="372"/>
      <c r="AH201" s="372"/>
      <c r="AI201" s="372"/>
      <c r="AJ201" s="372"/>
      <c r="AK201" s="372"/>
      <c r="AL201" s="372"/>
      <c r="AM201" s="372"/>
    </row>
    <row r="202" spans="23:39" x14ac:dyDescent="0.35">
      <c r="W202" s="371"/>
      <c r="X202" s="371"/>
      <c r="Y202" s="371"/>
      <c r="Z202" s="372"/>
      <c r="AA202" s="372"/>
      <c r="AB202" s="372"/>
      <c r="AC202" s="372"/>
      <c r="AD202" s="372"/>
      <c r="AE202" s="372"/>
      <c r="AF202" s="372"/>
      <c r="AG202" s="372"/>
      <c r="AH202" s="372"/>
      <c r="AI202" s="372"/>
      <c r="AJ202" s="372"/>
      <c r="AK202" s="372"/>
      <c r="AL202" s="372"/>
      <c r="AM202" s="372"/>
    </row>
    <row r="203" spans="23:39" x14ac:dyDescent="0.35">
      <c r="W203" s="371"/>
      <c r="X203" s="371"/>
      <c r="Y203" s="371"/>
      <c r="Z203" s="372"/>
      <c r="AA203" s="372"/>
      <c r="AB203" s="372"/>
      <c r="AC203" s="372"/>
      <c r="AD203" s="372"/>
      <c r="AE203" s="372"/>
      <c r="AF203" s="372"/>
      <c r="AG203" s="372"/>
      <c r="AH203" s="372"/>
      <c r="AI203" s="372"/>
      <c r="AJ203" s="372"/>
      <c r="AK203" s="372"/>
      <c r="AL203" s="372"/>
      <c r="AM203" s="372"/>
    </row>
    <row r="204" spans="23:39" x14ac:dyDescent="0.35">
      <c r="W204" s="371"/>
      <c r="X204" s="371"/>
      <c r="Y204" s="371"/>
      <c r="Z204" s="372"/>
      <c r="AA204" s="372"/>
      <c r="AB204" s="372"/>
      <c r="AC204" s="372"/>
      <c r="AD204" s="372"/>
      <c r="AE204" s="372"/>
      <c r="AF204" s="372"/>
      <c r="AG204" s="372"/>
      <c r="AH204" s="372"/>
      <c r="AI204" s="372"/>
      <c r="AJ204" s="372"/>
      <c r="AK204" s="372"/>
      <c r="AL204" s="372"/>
      <c r="AM204" s="372"/>
    </row>
    <row r="205" spans="23:39" x14ac:dyDescent="0.35">
      <c r="W205" s="371"/>
      <c r="X205" s="371"/>
      <c r="Y205" s="371"/>
      <c r="Z205" s="372"/>
      <c r="AA205" s="372"/>
      <c r="AB205" s="372"/>
      <c r="AC205" s="372"/>
      <c r="AD205" s="372"/>
      <c r="AE205" s="372"/>
      <c r="AF205" s="372"/>
      <c r="AG205" s="372"/>
      <c r="AH205" s="372"/>
      <c r="AI205" s="372"/>
      <c r="AJ205" s="372"/>
      <c r="AK205" s="372"/>
      <c r="AL205" s="372"/>
      <c r="AM205" s="372"/>
    </row>
    <row r="206" spans="23:39" x14ac:dyDescent="0.35">
      <c r="W206" s="371"/>
      <c r="X206" s="371"/>
      <c r="Y206" s="371"/>
      <c r="Z206" s="372"/>
      <c r="AA206" s="372"/>
      <c r="AB206" s="372"/>
      <c r="AC206" s="372"/>
      <c r="AD206" s="372"/>
      <c r="AE206" s="372"/>
      <c r="AF206" s="372"/>
      <c r="AG206" s="372"/>
      <c r="AH206" s="372"/>
      <c r="AI206" s="372"/>
      <c r="AJ206" s="372"/>
      <c r="AK206" s="372"/>
      <c r="AL206" s="372"/>
      <c r="AM206" s="372"/>
    </row>
    <row r="207" spans="23:39" x14ac:dyDescent="0.35">
      <c r="W207" s="371"/>
      <c r="X207" s="371"/>
      <c r="Y207" s="371"/>
      <c r="Z207" s="372"/>
      <c r="AA207" s="372"/>
      <c r="AB207" s="372"/>
      <c r="AC207" s="372"/>
      <c r="AD207" s="372"/>
      <c r="AE207" s="372"/>
      <c r="AF207" s="372"/>
      <c r="AG207" s="372"/>
      <c r="AH207" s="372"/>
      <c r="AI207" s="372"/>
      <c r="AJ207" s="372"/>
      <c r="AK207" s="372"/>
      <c r="AL207" s="372"/>
      <c r="AM207" s="372"/>
    </row>
    <row r="208" spans="23:39" x14ac:dyDescent="0.35">
      <c r="W208" s="371"/>
      <c r="X208" s="371"/>
      <c r="Y208" s="371"/>
      <c r="Z208" s="372"/>
      <c r="AA208" s="372"/>
      <c r="AB208" s="372"/>
      <c r="AC208" s="372"/>
      <c r="AD208" s="372"/>
      <c r="AE208" s="372"/>
      <c r="AF208" s="372"/>
      <c r="AG208" s="372"/>
      <c r="AH208" s="372"/>
      <c r="AI208" s="372"/>
      <c r="AJ208" s="372"/>
      <c r="AK208" s="372"/>
      <c r="AL208" s="372"/>
      <c r="AM208" s="372"/>
    </row>
    <row r="209" spans="23:39" x14ac:dyDescent="0.35">
      <c r="W209" s="371"/>
      <c r="X209" s="371"/>
      <c r="Y209" s="371"/>
      <c r="Z209" s="372"/>
      <c r="AA209" s="372"/>
      <c r="AB209" s="372"/>
      <c r="AC209" s="372"/>
      <c r="AD209" s="372"/>
      <c r="AE209" s="372"/>
      <c r="AF209" s="372"/>
      <c r="AG209" s="372"/>
      <c r="AH209" s="372"/>
      <c r="AI209" s="372"/>
      <c r="AJ209" s="372"/>
      <c r="AK209" s="372"/>
      <c r="AL209" s="372"/>
      <c r="AM209" s="372"/>
    </row>
    <row r="210" spans="23:39" x14ac:dyDescent="0.35">
      <c r="W210" s="371"/>
      <c r="X210" s="371"/>
      <c r="Y210" s="371"/>
      <c r="Z210" s="372"/>
      <c r="AA210" s="372"/>
      <c r="AB210" s="372"/>
      <c r="AC210" s="372"/>
      <c r="AD210" s="372"/>
      <c r="AE210" s="372"/>
      <c r="AF210" s="372"/>
      <c r="AG210" s="372"/>
      <c r="AH210" s="372"/>
      <c r="AI210" s="372"/>
      <c r="AJ210" s="372"/>
      <c r="AK210" s="372"/>
      <c r="AL210" s="372"/>
      <c r="AM210" s="372"/>
    </row>
    <row r="211" spans="23:39" x14ac:dyDescent="0.35">
      <c r="W211" s="371"/>
      <c r="X211" s="371"/>
      <c r="Y211" s="371"/>
      <c r="Z211" s="372"/>
      <c r="AA211" s="372"/>
      <c r="AB211" s="372"/>
      <c r="AC211" s="372"/>
      <c r="AD211" s="372"/>
      <c r="AE211" s="372"/>
      <c r="AF211" s="372"/>
      <c r="AG211" s="372"/>
      <c r="AH211" s="372"/>
      <c r="AI211" s="372"/>
      <c r="AJ211" s="372"/>
      <c r="AK211" s="372"/>
      <c r="AL211" s="372"/>
      <c r="AM211" s="372"/>
    </row>
    <row r="212" spans="23:39" x14ac:dyDescent="0.35">
      <c r="W212" s="371"/>
      <c r="X212" s="371"/>
      <c r="Y212" s="371"/>
      <c r="Z212" s="372"/>
      <c r="AA212" s="372"/>
      <c r="AB212" s="372"/>
      <c r="AC212" s="372"/>
      <c r="AD212" s="372"/>
      <c r="AE212" s="372"/>
      <c r="AF212" s="372"/>
      <c r="AG212" s="372"/>
      <c r="AH212" s="372"/>
      <c r="AI212" s="372"/>
      <c r="AJ212" s="372"/>
      <c r="AK212" s="372"/>
      <c r="AL212" s="372"/>
      <c r="AM212" s="372"/>
    </row>
    <row r="213" spans="23:39" x14ac:dyDescent="0.35">
      <c r="W213" s="371"/>
      <c r="X213" s="371"/>
      <c r="Y213" s="371"/>
      <c r="Z213" s="372"/>
      <c r="AA213" s="372"/>
      <c r="AB213" s="372"/>
      <c r="AC213" s="372"/>
      <c r="AD213" s="372"/>
      <c r="AE213" s="372"/>
      <c r="AF213" s="372"/>
      <c r="AG213" s="372"/>
      <c r="AH213" s="372"/>
      <c r="AI213" s="372"/>
      <c r="AJ213" s="372"/>
      <c r="AK213" s="372"/>
      <c r="AL213" s="372"/>
      <c r="AM213" s="372"/>
    </row>
    <row r="214" spans="23:39" x14ac:dyDescent="0.35">
      <c r="W214" s="371"/>
      <c r="X214" s="371"/>
      <c r="Y214" s="371"/>
      <c r="Z214" s="372"/>
      <c r="AA214" s="372"/>
      <c r="AB214" s="372"/>
      <c r="AC214" s="372"/>
      <c r="AD214" s="372"/>
      <c r="AE214" s="372"/>
      <c r="AF214" s="372"/>
      <c r="AG214" s="372"/>
      <c r="AH214" s="372"/>
      <c r="AI214" s="372"/>
      <c r="AJ214" s="372"/>
      <c r="AK214" s="372"/>
      <c r="AL214" s="372"/>
      <c r="AM214" s="372"/>
    </row>
    <row r="215" spans="23:39" x14ac:dyDescent="0.35">
      <c r="W215" s="371"/>
      <c r="X215" s="371"/>
      <c r="Y215" s="371"/>
      <c r="Z215" s="372"/>
      <c r="AA215" s="372"/>
      <c r="AB215" s="372"/>
      <c r="AC215" s="372"/>
      <c r="AD215" s="372"/>
      <c r="AE215" s="372"/>
      <c r="AF215" s="372"/>
      <c r="AG215" s="372"/>
      <c r="AH215" s="372"/>
      <c r="AI215" s="372"/>
      <c r="AJ215" s="372"/>
      <c r="AK215" s="372"/>
      <c r="AL215" s="372"/>
      <c r="AM215" s="372"/>
    </row>
    <row r="216" spans="23:39" x14ac:dyDescent="0.35">
      <c r="W216" s="371"/>
      <c r="X216" s="371"/>
      <c r="Y216" s="371"/>
      <c r="Z216" s="372"/>
      <c r="AA216" s="372"/>
      <c r="AB216" s="372"/>
      <c r="AC216" s="372"/>
      <c r="AD216" s="372"/>
      <c r="AE216" s="372"/>
      <c r="AF216" s="372"/>
      <c r="AG216" s="372"/>
      <c r="AH216" s="372"/>
      <c r="AI216" s="372"/>
      <c r="AJ216" s="372"/>
      <c r="AK216" s="372"/>
      <c r="AL216" s="372"/>
      <c r="AM216" s="372"/>
    </row>
    <row r="217" spans="23:39" x14ac:dyDescent="0.35">
      <c r="W217" s="371"/>
      <c r="X217" s="371"/>
      <c r="Y217" s="371"/>
      <c r="Z217" s="372"/>
      <c r="AA217" s="372"/>
      <c r="AB217" s="372"/>
      <c r="AC217" s="372"/>
      <c r="AD217" s="372"/>
      <c r="AE217" s="372"/>
      <c r="AF217" s="372"/>
      <c r="AG217" s="372"/>
      <c r="AH217" s="372"/>
      <c r="AI217" s="372"/>
      <c r="AJ217" s="372"/>
      <c r="AK217" s="372"/>
      <c r="AL217" s="372"/>
      <c r="AM217" s="372"/>
    </row>
    <row r="218" spans="23:39" x14ac:dyDescent="0.35">
      <c r="W218" s="371"/>
      <c r="X218" s="371"/>
      <c r="Y218" s="371"/>
      <c r="Z218" s="372"/>
      <c r="AA218" s="372"/>
      <c r="AB218" s="372"/>
      <c r="AC218" s="372"/>
      <c r="AD218" s="372"/>
      <c r="AE218" s="372"/>
      <c r="AF218" s="372"/>
      <c r="AG218" s="372"/>
      <c r="AH218" s="372"/>
      <c r="AI218" s="372"/>
      <c r="AJ218" s="372"/>
      <c r="AK218" s="372"/>
      <c r="AL218" s="372"/>
      <c r="AM218" s="372"/>
    </row>
    <row r="219" spans="23:39" x14ac:dyDescent="0.35">
      <c r="W219" s="371"/>
      <c r="X219" s="371"/>
      <c r="Y219" s="371"/>
      <c r="Z219" s="372"/>
      <c r="AA219" s="372"/>
      <c r="AB219" s="372"/>
      <c r="AC219" s="372"/>
      <c r="AD219" s="372"/>
      <c r="AE219" s="372"/>
      <c r="AF219" s="372"/>
      <c r="AG219" s="372"/>
      <c r="AH219" s="372"/>
      <c r="AI219" s="372"/>
      <c r="AJ219" s="372"/>
      <c r="AK219" s="372"/>
      <c r="AL219" s="372"/>
      <c r="AM219" s="372"/>
    </row>
    <row r="220" spans="23:39" x14ac:dyDescent="0.35">
      <c r="W220" s="371"/>
      <c r="X220" s="371"/>
      <c r="Y220" s="371"/>
      <c r="Z220" s="372"/>
      <c r="AA220" s="372"/>
      <c r="AB220" s="372"/>
      <c r="AC220" s="372"/>
      <c r="AD220" s="372"/>
      <c r="AE220" s="372"/>
      <c r="AF220" s="372"/>
      <c r="AG220" s="372"/>
      <c r="AH220" s="372"/>
      <c r="AI220" s="372"/>
      <c r="AJ220" s="372"/>
      <c r="AK220" s="372"/>
      <c r="AL220" s="372"/>
      <c r="AM220" s="372"/>
    </row>
    <row r="221" spans="23:39" x14ac:dyDescent="0.35">
      <c r="W221" s="371"/>
      <c r="X221" s="371"/>
      <c r="Y221" s="371"/>
      <c r="Z221" s="372"/>
      <c r="AA221" s="372"/>
      <c r="AB221" s="372"/>
      <c r="AC221" s="372"/>
      <c r="AD221" s="372"/>
      <c r="AE221" s="372"/>
      <c r="AF221" s="372"/>
      <c r="AG221" s="372"/>
      <c r="AH221" s="372"/>
      <c r="AI221" s="372"/>
      <c r="AJ221" s="372"/>
      <c r="AK221" s="372"/>
      <c r="AL221" s="372"/>
      <c r="AM221" s="372"/>
    </row>
    <row r="222" spans="23:39" x14ac:dyDescent="0.35">
      <c r="W222" s="371"/>
      <c r="X222" s="371"/>
      <c r="Y222" s="371"/>
      <c r="Z222" s="372"/>
      <c r="AA222" s="372"/>
      <c r="AB222" s="372"/>
      <c r="AC222" s="372"/>
      <c r="AD222" s="372"/>
      <c r="AE222" s="372"/>
      <c r="AF222" s="372"/>
      <c r="AG222" s="372"/>
      <c r="AH222" s="372"/>
      <c r="AI222" s="372"/>
      <c r="AJ222" s="372"/>
      <c r="AK222" s="372"/>
      <c r="AL222" s="372"/>
      <c r="AM222" s="372"/>
    </row>
    <row r="223" spans="23:39" x14ac:dyDescent="0.35">
      <c r="W223" s="371"/>
      <c r="X223" s="371"/>
      <c r="Y223" s="371"/>
      <c r="Z223" s="372"/>
      <c r="AA223" s="372"/>
      <c r="AB223" s="372"/>
      <c r="AC223" s="372"/>
      <c r="AD223" s="372"/>
      <c r="AE223" s="372"/>
      <c r="AF223" s="372"/>
      <c r="AG223" s="372"/>
      <c r="AH223" s="372"/>
      <c r="AI223" s="372"/>
      <c r="AJ223" s="372"/>
      <c r="AK223" s="372"/>
      <c r="AL223" s="372"/>
      <c r="AM223" s="372"/>
    </row>
    <row r="224" spans="23:39" x14ac:dyDescent="0.35">
      <c r="W224" s="371"/>
      <c r="X224" s="371"/>
      <c r="Y224" s="371"/>
      <c r="Z224" s="372"/>
      <c r="AA224" s="372"/>
      <c r="AB224" s="372"/>
      <c r="AC224" s="372"/>
      <c r="AD224" s="372"/>
      <c r="AE224" s="372"/>
      <c r="AF224" s="372"/>
      <c r="AG224" s="372"/>
      <c r="AH224" s="372"/>
      <c r="AI224" s="372"/>
      <c r="AJ224" s="372"/>
      <c r="AK224" s="372"/>
      <c r="AL224" s="372"/>
      <c r="AM224" s="372"/>
    </row>
    <row r="225" spans="23:39" x14ac:dyDescent="0.35">
      <c r="W225" s="371"/>
      <c r="X225" s="371"/>
      <c r="Y225" s="371"/>
      <c r="Z225" s="372"/>
      <c r="AA225" s="372"/>
      <c r="AB225" s="372"/>
      <c r="AC225" s="372"/>
      <c r="AD225" s="372"/>
      <c r="AE225" s="372"/>
      <c r="AF225" s="372"/>
      <c r="AG225" s="372"/>
      <c r="AH225" s="372"/>
      <c r="AI225" s="372"/>
      <c r="AJ225" s="372"/>
      <c r="AK225" s="372"/>
      <c r="AL225" s="372"/>
      <c r="AM225" s="372"/>
    </row>
    <row r="226" spans="23:39" x14ac:dyDescent="0.35">
      <c r="W226" s="371"/>
      <c r="X226" s="371"/>
      <c r="Y226" s="371"/>
      <c r="Z226" s="372"/>
      <c r="AA226" s="372"/>
      <c r="AB226" s="372"/>
      <c r="AC226" s="372"/>
      <c r="AD226" s="372"/>
      <c r="AE226" s="372"/>
      <c r="AF226" s="372"/>
      <c r="AG226" s="372"/>
      <c r="AH226" s="372"/>
      <c r="AI226" s="372"/>
      <c r="AJ226" s="372"/>
      <c r="AK226" s="372"/>
      <c r="AL226" s="372"/>
      <c r="AM226" s="372"/>
    </row>
    <row r="227" spans="23:39" x14ac:dyDescent="0.35">
      <c r="W227" s="371"/>
      <c r="X227" s="371"/>
      <c r="Y227" s="371"/>
      <c r="Z227" s="372"/>
      <c r="AA227" s="372"/>
      <c r="AB227" s="372"/>
      <c r="AC227" s="372"/>
      <c r="AD227" s="372"/>
      <c r="AE227" s="372"/>
      <c r="AF227" s="372"/>
      <c r="AG227" s="372"/>
      <c r="AH227" s="372"/>
      <c r="AI227" s="372"/>
      <c r="AJ227" s="372"/>
      <c r="AK227" s="372"/>
      <c r="AL227" s="372"/>
      <c r="AM227" s="372"/>
    </row>
    <row r="228" spans="23:39" x14ac:dyDescent="0.35">
      <c r="W228" s="371"/>
      <c r="X228" s="371"/>
      <c r="Y228" s="371"/>
      <c r="Z228" s="372"/>
      <c r="AA228" s="372"/>
      <c r="AB228" s="372"/>
      <c r="AC228" s="372"/>
      <c r="AD228" s="372"/>
      <c r="AE228" s="372"/>
      <c r="AF228" s="372"/>
      <c r="AG228" s="372"/>
      <c r="AH228" s="372"/>
      <c r="AI228" s="372"/>
      <c r="AJ228" s="372"/>
      <c r="AK228" s="372"/>
      <c r="AL228" s="372"/>
      <c r="AM228" s="372"/>
    </row>
    <row r="229" spans="23:39" x14ac:dyDescent="0.35">
      <c r="W229" s="371"/>
      <c r="X229" s="371"/>
      <c r="Y229" s="371"/>
      <c r="Z229" s="372"/>
      <c r="AA229" s="372"/>
      <c r="AB229" s="372"/>
      <c r="AC229" s="372"/>
      <c r="AD229" s="372"/>
      <c r="AE229" s="372"/>
      <c r="AF229" s="372"/>
      <c r="AG229" s="372"/>
      <c r="AH229" s="372"/>
      <c r="AI229" s="372"/>
      <c r="AJ229" s="372"/>
      <c r="AK229" s="372"/>
      <c r="AL229" s="372"/>
      <c r="AM229" s="372"/>
    </row>
    <row r="230" spans="23:39" x14ac:dyDescent="0.35">
      <c r="W230" s="371"/>
      <c r="X230" s="371"/>
      <c r="Y230" s="371"/>
      <c r="Z230" s="372"/>
      <c r="AA230" s="372"/>
      <c r="AB230" s="372"/>
      <c r="AC230" s="372"/>
      <c r="AD230" s="372"/>
      <c r="AE230" s="372"/>
      <c r="AF230" s="372"/>
      <c r="AG230" s="372"/>
      <c r="AH230" s="372"/>
      <c r="AI230" s="372"/>
      <c r="AJ230" s="372"/>
      <c r="AK230" s="372"/>
      <c r="AL230" s="372"/>
      <c r="AM230" s="372"/>
    </row>
    <row r="231" spans="23:39" x14ac:dyDescent="0.35">
      <c r="W231" s="371"/>
      <c r="X231" s="371"/>
      <c r="Y231" s="371"/>
      <c r="Z231" s="372"/>
      <c r="AA231" s="372"/>
      <c r="AB231" s="372"/>
      <c r="AC231" s="372"/>
      <c r="AD231" s="372"/>
      <c r="AE231" s="372"/>
      <c r="AF231" s="372"/>
      <c r="AG231" s="372"/>
      <c r="AH231" s="372"/>
      <c r="AI231" s="372"/>
      <c r="AJ231" s="372"/>
      <c r="AK231" s="372"/>
      <c r="AL231" s="372"/>
      <c r="AM231" s="372"/>
    </row>
    <row r="232" spans="23:39" x14ac:dyDescent="0.35">
      <c r="W232" s="371"/>
      <c r="X232" s="371"/>
      <c r="Y232" s="371"/>
      <c r="Z232" s="372"/>
      <c r="AA232" s="372"/>
      <c r="AB232" s="372"/>
      <c r="AC232" s="372"/>
      <c r="AD232" s="372"/>
      <c r="AE232" s="372"/>
      <c r="AF232" s="372"/>
      <c r="AG232" s="372"/>
      <c r="AH232" s="372"/>
      <c r="AI232" s="372"/>
      <c r="AJ232" s="372"/>
      <c r="AK232" s="372"/>
      <c r="AL232" s="372"/>
      <c r="AM232" s="372"/>
    </row>
    <row r="233" spans="23:39" x14ac:dyDescent="0.35">
      <c r="W233" s="371"/>
      <c r="X233" s="371"/>
      <c r="Y233" s="371"/>
      <c r="Z233" s="372"/>
      <c r="AA233" s="372"/>
      <c r="AB233" s="372"/>
      <c r="AC233" s="372"/>
      <c r="AD233" s="372"/>
      <c r="AE233" s="372"/>
      <c r="AF233" s="372"/>
      <c r="AG233" s="372"/>
      <c r="AH233" s="372"/>
      <c r="AI233" s="372"/>
      <c r="AJ233" s="372"/>
      <c r="AK233" s="372"/>
      <c r="AL233" s="372"/>
      <c r="AM233" s="372"/>
    </row>
    <row r="234" spans="23:39" x14ac:dyDescent="0.35">
      <c r="W234" s="371"/>
      <c r="X234" s="371"/>
      <c r="Y234" s="371"/>
      <c r="Z234" s="372"/>
      <c r="AA234" s="372"/>
      <c r="AB234" s="372"/>
      <c r="AC234" s="372"/>
      <c r="AD234" s="372"/>
      <c r="AE234" s="372"/>
      <c r="AF234" s="372"/>
      <c r="AG234" s="372"/>
      <c r="AH234" s="372"/>
      <c r="AI234" s="372"/>
      <c r="AJ234" s="372"/>
      <c r="AK234" s="372"/>
      <c r="AL234" s="372"/>
      <c r="AM234" s="372"/>
    </row>
    <row r="235" spans="23:39" x14ac:dyDescent="0.35">
      <c r="W235" s="371"/>
      <c r="X235" s="371"/>
      <c r="Y235" s="371"/>
      <c r="Z235" s="372"/>
      <c r="AA235" s="372"/>
      <c r="AB235" s="372"/>
      <c r="AC235" s="372"/>
      <c r="AD235" s="372"/>
      <c r="AE235" s="372"/>
      <c r="AF235" s="372"/>
      <c r="AG235" s="372"/>
      <c r="AH235" s="372"/>
      <c r="AI235" s="372"/>
      <c r="AJ235" s="372"/>
      <c r="AK235" s="372"/>
      <c r="AL235" s="372"/>
      <c r="AM235" s="372"/>
    </row>
    <row r="236" spans="23:39" x14ac:dyDescent="0.35">
      <c r="W236" s="371"/>
      <c r="X236" s="371"/>
      <c r="Y236" s="371"/>
      <c r="Z236" s="372"/>
      <c r="AA236" s="372"/>
      <c r="AB236" s="372"/>
      <c r="AC236" s="372"/>
      <c r="AD236" s="372"/>
      <c r="AE236" s="372"/>
      <c r="AF236" s="372"/>
      <c r="AG236" s="372"/>
      <c r="AH236" s="372"/>
      <c r="AI236" s="372"/>
      <c r="AJ236" s="372"/>
      <c r="AK236" s="372"/>
      <c r="AL236" s="372"/>
      <c r="AM236" s="372"/>
    </row>
    <row r="237" spans="23:39" x14ac:dyDescent="0.35">
      <c r="W237" s="371"/>
      <c r="X237" s="371"/>
      <c r="Y237" s="371"/>
      <c r="Z237" s="372"/>
      <c r="AA237" s="372"/>
      <c r="AB237" s="372"/>
      <c r="AC237" s="372"/>
      <c r="AD237" s="372"/>
      <c r="AE237" s="372"/>
      <c r="AF237" s="372"/>
      <c r="AG237" s="372"/>
      <c r="AH237" s="372"/>
      <c r="AI237" s="372"/>
      <c r="AJ237" s="372"/>
      <c r="AK237" s="372"/>
      <c r="AL237" s="372"/>
      <c r="AM237" s="372"/>
    </row>
    <row r="238" spans="23:39" x14ac:dyDescent="0.35">
      <c r="W238" s="371"/>
      <c r="X238" s="371"/>
      <c r="Y238" s="371"/>
      <c r="Z238" s="372"/>
      <c r="AA238" s="372"/>
      <c r="AB238" s="372"/>
      <c r="AC238" s="372"/>
      <c r="AD238" s="372"/>
      <c r="AE238" s="372"/>
      <c r="AF238" s="372"/>
      <c r="AG238" s="372"/>
      <c r="AH238" s="372"/>
      <c r="AI238" s="372"/>
      <c r="AJ238" s="372"/>
      <c r="AK238" s="372"/>
      <c r="AL238" s="372"/>
      <c r="AM238" s="372"/>
    </row>
    <row r="239" spans="23:39" x14ac:dyDescent="0.35">
      <c r="W239" s="371"/>
      <c r="X239" s="371"/>
      <c r="Y239" s="371"/>
      <c r="Z239" s="372"/>
      <c r="AA239" s="372"/>
      <c r="AB239" s="372"/>
      <c r="AC239" s="372"/>
      <c r="AD239" s="372"/>
      <c r="AE239" s="372"/>
      <c r="AF239" s="372"/>
      <c r="AG239" s="372"/>
      <c r="AH239" s="372"/>
      <c r="AI239" s="372"/>
      <c r="AJ239" s="372"/>
      <c r="AK239" s="372"/>
      <c r="AL239" s="372"/>
      <c r="AM239" s="372"/>
    </row>
    <row r="240" spans="23:39" x14ac:dyDescent="0.35">
      <c r="W240" s="371"/>
      <c r="X240" s="371"/>
      <c r="Y240" s="371"/>
      <c r="Z240" s="372"/>
      <c r="AA240" s="372"/>
      <c r="AB240" s="372"/>
      <c r="AC240" s="372"/>
      <c r="AD240" s="372"/>
      <c r="AE240" s="372"/>
      <c r="AF240" s="372"/>
      <c r="AG240" s="372"/>
      <c r="AH240" s="372"/>
      <c r="AI240" s="372"/>
      <c r="AJ240" s="372"/>
      <c r="AK240" s="372"/>
      <c r="AL240" s="372"/>
      <c r="AM240" s="372"/>
    </row>
    <row r="241" spans="23:39" x14ac:dyDescent="0.35">
      <c r="W241" s="371"/>
      <c r="X241" s="371"/>
      <c r="Y241" s="371"/>
      <c r="Z241" s="372"/>
      <c r="AA241" s="372"/>
      <c r="AB241" s="372"/>
      <c r="AC241" s="372"/>
      <c r="AD241" s="372"/>
      <c r="AE241" s="372"/>
      <c r="AF241" s="372"/>
      <c r="AG241" s="372"/>
      <c r="AH241" s="372"/>
      <c r="AI241" s="372"/>
      <c r="AJ241" s="372"/>
      <c r="AK241" s="372"/>
      <c r="AL241" s="372"/>
      <c r="AM241" s="372"/>
    </row>
    <row r="242" spans="23:39" x14ac:dyDescent="0.35">
      <c r="W242" s="371"/>
      <c r="X242" s="371"/>
      <c r="Y242" s="371"/>
      <c r="Z242" s="372"/>
      <c r="AA242" s="372"/>
      <c r="AB242" s="372"/>
      <c r="AC242" s="372"/>
      <c r="AD242" s="372"/>
      <c r="AE242" s="372"/>
      <c r="AF242" s="372"/>
      <c r="AG242" s="372"/>
      <c r="AH242" s="372"/>
      <c r="AI242" s="372"/>
      <c r="AJ242" s="372"/>
      <c r="AK242" s="372"/>
      <c r="AL242" s="372"/>
      <c r="AM242" s="372"/>
    </row>
    <row r="243" spans="23:39" x14ac:dyDescent="0.35">
      <c r="W243" s="371"/>
      <c r="X243" s="371"/>
      <c r="Y243" s="371"/>
      <c r="Z243" s="372"/>
      <c r="AA243" s="372"/>
      <c r="AB243" s="372"/>
      <c r="AC243" s="372"/>
      <c r="AD243" s="372"/>
      <c r="AE243" s="372"/>
      <c r="AF243" s="372"/>
      <c r="AG243" s="372"/>
      <c r="AH243" s="372"/>
      <c r="AI243" s="372"/>
      <c r="AJ243" s="372"/>
      <c r="AK243" s="372"/>
      <c r="AL243" s="372"/>
      <c r="AM243" s="372"/>
    </row>
    <row r="244" spans="23:39" x14ac:dyDescent="0.35">
      <c r="W244" s="371"/>
      <c r="X244" s="371"/>
      <c r="Y244" s="371"/>
      <c r="Z244" s="372"/>
      <c r="AA244" s="372"/>
      <c r="AB244" s="372"/>
      <c r="AC244" s="372"/>
      <c r="AD244" s="372"/>
      <c r="AE244" s="372"/>
      <c r="AF244" s="372"/>
      <c r="AG244" s="372"/>
      <c r="AH244" s="372"/>
      <c r="AI244" s="372"/>
      <c r="AJ244" s="372"/>
      <c r="AK244" s="372"/>
      <c r="AL244" s="372"/>
      <c r="AM244" s="372"/>
    </row>
    <row r="245" spans="23:39" x14ac:dyDescent="0.35">
      <c r="W245" s="371"/>
      <c r="X245" s="371"/>
      <c r="Y245" s="371"/>
      <c r="Z245" s="372"/>
      <c r="AA245" s="372"/>
      <c r="AB245" s="372"/>
      <c r="AC245" s="372"/>
      <c r="AD245" s="372"/>
      <c r="AE245" s="372"/>
      <c r="AF245" s="372"/>
      <c r="AG245" s="372"/>
      <c r="AH245" s="372"/>
      <c r="AI245" s="372"/>
      <c r="AJ245" s="372"/>
      <c r="AK245" s="372"/>
      <c r="AL245" s="372"/>
      <c r="AM245" s="372"/>
    </row>
    <row r="246" spans="23:39" x14ac:dyDescent="0.35">
      <c r="W246" s="371"/>
      <c r="X246" s="371"/>
      <c r="Y246" s="371"/>
      <c r="Z246" s="372"/>
      <c r="AA246" s="372"/>
      <c r="AB246" s="372"/>
      <c r="AC246" s="372"/>
      <c r="AD246" s="372"/>
      <c r="AE246" s="372"/>
      <c r="AF246" s="372"/>
      <c r="AG246" s="372"/>
      <c r="AH246" s="372"/>
      <c r="AI246" s="372"/>
      <c r="AJ246" s="372"/>
      <c r="AK246" s="372"/>
      <c r="AL246" s="372"/>
      <c r="AM246" s="372"/>
    </row>
    <row r="247" spans="23:39" x14ac:dyDescent="0.35">
      <c r="W247" s="371"/>
      <c r="X247" s="371"/>
      <c r="Y247" s="371"/>
      <c r="Z247" s="372"/>
      <c r="AA247" s="372"/>
      <c r="AB247" s="372"/>
      <c r="AC247" s="372"/>
      <c r="AD247" s="372"/>
      <c r="AE247" s="372"/>
      <c r="AF247" s="372"/>
      <c r="AG247" s="372"/>
      <c r="AH247" s="372"/>
      <c r="AI247" s="372"/>
      <c r="AJ247" s="372"/>
      <c r="AK247" s="372"/>
      <c r="AL247" s="372"/>
      <c r="AM247" s="372"/>
    </row>
    <row r="248" spans="23:39" x14ac:dyDescent="0.35">
      <c r="W248" s="371"/>
      <c r="X248" s="371"/>
      <c r="Y248" s="371"/>
      <c r="Z248" s="372"/>
      <c r="AA248" s="372"/>
      <c r="AB248" s="372"/>
      <c r="AC248" s="372"/>
      <c r="AD248" s="372"/>
      <c r="AE248" s="372"/>
      <c r="AF248" s="372"/>
      <c r="AG248" s="372"/>
      <c r="AH248" s="372"/>
      <c r="AI248" s="372"/>
      <c r="AJ248" s="372"/>
      <c r="AK248" s="372"/>
      <c r="AL248" s="372"/>
      <c r="AM248" s="372"/>
    </row>
    <row r="249" spans="23:39" x14ac:dyDescent="0.35">
      <c r="W249" s="371"/>
      <c r="X249" s="371"/>
      <c r="Y249" s="371"/>
      <c r="Z249" s="372"/>
      <c r="AA249" s="372"/>
      <c r="AB249" s="372"/>
      <c r="AC249" s="372"/>
      <c r="AD249" s="372"/>
      <c r="AE249" s="372"/>
      <c r="AF249" s="372"/>
      <c r="AG249" s="372"/>
      <c r="AH249" s="372"/>
      <c r="AI249" s="372"/>
      <c r="AJ249" s="372"/>
      <c r="AK249" s="372"/>
      <c r="AL249" s="372"/>
      <c r="AM249" s="372"/>
    </row>
    <row r="250" spans="23:39" x14ac:dyDescent="0.35">
      <c r="W250" s="371"/>
      <c r="X250" s="371"/>
      <c r="Y250" s="371"/>
      <c r="Z250" s="372"/>
      <c r="AA250" s="372"/>
      <c r="AB250" s="372"/>
      <c r="AC250" s="372"/>
      <c r="AD250" s="372"/>
      <c r="AE250" s="372"/>
      <c r="AF250" s="372"/>
      <c r="AG250" s="372"/>
      <c r="AH250" s="372"/>
      <c r="AI250" s="372"/>
      <c r="AJ250" s="372"/>
      <c r="AK250" s="372"/>
      <c r="AL250" s="372"/>
      <c r="AM250" s="372"/>
    </row>
    <row r="251" spans="23:39" x14ac:dyDescent="0.35">
      <c r="W251" s="371"/>
      <c r="X251" s="371"/>
      <c r="Y251" s="371"/>
      <c r="Z251" s="372"/>
      <c r="AA251" s="372"/>
      <c r="AB251" s="372"/>
      <c r="AC251" s="372"/>
      <c r="AD251" s="372"/>
      <c r="AE251" s="372"/>
      <c r="AF251" s="372"/>
      <c r="AG251" s="372"/>
      <c r="AH251" s="372"/>
      <c r="AI251" s="372"/>
      <c r="AJ251" s="372"/>
      <c r="AK251" s="372"/>
      <c r="AL251" s="372"/>
      <c r="AM251" s="372"/>
    </row>
    <row r="252" spans="23:39" x14ac:dyDescent="0.35">
      <c r="W252" s="371"/>
      <c r="X252" s="371"/>
      <c r="Y252" s="371"/>
      <c r="Z252" s="372"/>
      <c r="AA252" s="372"/>
      <c r="AB252" s="372"/>
      <c r="AC252" s="372"/>
      <c r="AD252" s="372"/>
      <c r="AE252" s="372"/>
      <c r="AF252" s="372"/>
      <c r="AG252" s="372"/>
      <c r="AH252" s="372"/>
      <c r="AI252" s="372"/>
      <c r="AJ252" s="372"/>
      <c r="AK252" s="372"/>
      <c r="AL252" s="372"/>
      <c r="AM252" s="372"/>
    </row>
    <row r="253" spans="23:39" x14ac:dyDescent="0.35">
      <c r="W253" s="371"/>
      <c r="X253" s="371"/>
      <c r="Y253" s="371"/>
      <c r="Z253" s="372"/>
      <c r="AA253" s="372"/>
      <c r="AB253" s="372"/>
      <c r="AC253" s="372"/>
      <c r="AD253" s="372"/>
      <c r="AE253" s="372"/>
      <c r="AF253" s="372"/>
      <c r="AG253" s="372"/>
      <c r="AH253" s="372"/>
      <c r="AI253" s="372"/>
      <c r="AJ253" s="372"/>
      <c r="AK253" s="372"/>
      <c r="AL253" s="372"/>
      <c r="AM253" s="372"/>
    </row>
    <row r="254" spans="23:39" x14ac:dyDescent="0.35">
      <c r="W254" s="371"/>
      <c r="X254" s="371"/>
      <c r="Y254" s="371"/>
      <c r="Z254" s="372"/>
      <c r="AA254" s="372"/>
      <c r="AB254" s="372"/>
      <c r="AC254" s="372"/>
      <c r="AD254" s="372"/>
      <c r="AE254" s="372"/>
      <c r="AF254" s="372"/>
      <c r="AG254" s="372"/>
      <c r="AH254" s="372"/>
      <c r="AI254" s="372"/>
      <c r="AJ254" s="372"/>
      <c r="AK254" s="372"/>
      <c r="AL254" s="372"/>
      <c r="AM254" s="372"/>
    </row>
    <row r="255" spans="23:39" x14ac:dyDescent="0.35">
      <c r="W255" s="371"/>
      <c r="X255" s="371"/>
      <c r="Y255" s="371"/>
      <c r="Z255" s="372"/>
      <c r="AA255" s="372"/>
      <c r="AB255" s="372"/>
      <c r="AC255" s="372"/>
      <c r="AD255" s="372"/>
      <c r="AE255" s="372"/>
      <c r="AF255" s="372"/>
      <c r="AG255" s="372"/>
      <c r="AH255" s="372"/>
      <c r="AI255" s="372"/>
      <c r="AJ255" s="372"/>
      <c r="AK255" s="372"/>
      <c r="AL255" s="372"/>
      <c r="AM255" s="372"/>
    </row>
    <row r="256" spans="23:39" x14ac:dyDescent="0.35">
      <c r="W256" s="371"/>
      <c r="X256" s="371"/>
      <c r="Y256" s="371"/>
      <c r="Z256" s="372"/>
      <c r="AA256" s="372"/>
      <c r="AB256" s="372"/>
      <c r="AC256" s="372"/>
      <c r="AD256" s="372"/>
      <c r="AE256" s="372"/>
      <c r="AF256" s="372"/>
      <c r="AG256" s="372"/>
      <c r="AH256" s="372"/>
      <c r="AI256" s="372"/>
      <c r="AJ256" s="372"/>
      <c r="AK256" s="372"/>
      <c r="AL256" s="372"/>
      <c r="AM256" s="372"/>
    </row>
    <row r="257" spans="23:39" x14ac:dyDescent="0.35">
      <c r="W257" s="371"/>
      <c r="X257" s="371"/>
      <c r="Y257" s="371"/>
      <c r="Z257" s="372"/>
      <c r="AA257" s="372"/>
      <c r="AB257" s="372"/>
      <c r="AC257" s="372"/>
      <c r="AD257" s="372"/>
      <c r="AE257" s="372"/>
      <c r="AF257" s="372"/>
      <c r="AG257" s="372"/>
      <c r="AH257" s="372"/>
      <c r="AI257" s="372"/>
      <c r="AJ257" s="372"/>
      <c r="AK257" s="372"/>
      <c r="AL257" s="372"/>
      <c r="AM257" s="372"/>
    </row>
    <row r="258" spans="23:39" x14ac:dyDescent="0.35">
      <c r="W258" s="371"/>
      <c r="X258" s="371"/>
      <c r="Y258" s="371"/>
      <c r="Z258" s="372"/>
      <c r="AA258" s="372"/>
      <c r="AB258" s="372"/>
      <c r="AC258" s="372"/>
      <c r="AD258" s="372"/>
      <c r="AE258" s="372"/>
      <c r="AF258" s="372"/>
      <c r="AG258" s="372"/>
      <c r="AH258" s="372"/>
      <c r="AI258" s="372"/>
      <c r="AJ258" s="372"/>
      <c r="AK258" s="372"/>
      <c r="AL258" s="372"/>
      <c r="AM258" s="372"/>
    </row>
    <row r="259" spans="23:39" x14ac:dyDescent="0.35">
      <c r="W259" s="371"/>
      <c r="X259" s="371"/>
      <c r="Y259" s="371"/>
      <c r="Z259" s="372"/>
      <c r="AA259" s="372"/>
      <c r="AB259" s="372"/>
      <c r="AC259" s="372"/>
      <c r="AD259" s="372"/>
      <c r="AE259" s="372"/>
      <c r="AF259" s="372"/>
      <c r="AG259" s="372"/>
      <c r="AH259" s="372"/>
      <c r="AI259" s="372"/>
      <c r="AJ259" s="372"/>
      <c r="AK259" s="372"/>
      <c r="AL259" s="372"/>
      <c r="AM259" s="372"/>
    </row>
    <row r="260" spans="23:39" x14ac:dyDescent="0.35">
      <c r="W260" s="371"/>
      <c r="X260" s="371"/>
      <c r="Y260" s="371"/>
      <c r="Z260" s="372"/>
      <c r="AA260" s="372"/>
      <c r="AB260" s="372"/>
      <c r="AC260" s="372"/>
      <c r="AD260" s="372"/>
      <c r="AE260" s="372"/>
      <c r="AF260" s="372"/>
      <c r="AG260" s="372"/>
      <c r="AH260" s="372"/>
      <c r="AI260" s="372"/>
      <c r="AJ260" s="372"/>
      <c r="AK260" s="372"/>
      <c r="AL260" s="372"/>
      <c r="AM260" s="372"/>
    </row>
    <row r="261" spans="23:39" x14ac:dyDescent="0.35">
      <c r="W261" s="371"/>
      <c r="X261" s="371"/>
      <c r="Y261" s="371"/>
      <c r="Z261" s="372"/>
      <c r="AA261" s="372"/>
      <c r="AB261" s="372"/>
      <c r="AC261" s="372"/>
      <c r="AD261" s="372"/>
      <c r="AE261" s="372"/>
      <c r="AF261" s="372"/>
      <c r="AG261" s="372"/>
      <c r="AH261" s="372"/>
      <c r="AI261" s="372"/>
      <c r="AJ261" s="372"/>
      <c r="AK261" s="372"/>
      <c r="AL261" s="372"/>
      <c r="AM261" s="372"/>
    </row>
    <row r="262" spans="23:39" x14ac:dyDescent="0.35">
      <c r="W262" s="371"/>
      <c r="X262" s="371"/>
      <c r="Y262" s="371"/>
      <c r="Z262" s="372"/>
      <c r="AA262" s="372"/>
      <c r="AB262" s="372"/>
      <c r="AC262" s="372"/>
      <c r="AD262" s="372"/>
      <c r="AE262" s="372"/>
      <c r="AF262" s="372"/>
      <c r="AG262" s="372"/>
      <c r="AH262" s="372"/>
      <c r="AI262" s="372"/>
      <c r="AJ262" s="372"/>
      <c r="AK262" s="372"/>
      <c r="AL262" s="372"/>
      <c r="AM262" s="372"/>
    </row>
    <row r="263" spans="23:39" x14ac:dyDescent="0.35">
      <c r="W263" s="371"/>
      <c r="X263" s="371"/>
      <c r="Y263" s="371"/>
      <c r="Z263" s="372"/>
      <c r="AA263" s="372"/>
      <c r="AB263" s="372"/>
      <c r="AC263" s="372"/>
      <c r="AD263" s="372"/>
      <c r="AE263" s="372"/>
      <c r="AF263" s="372"/>
      <c r="AG263" s="372"/>
      <c r="AH263" s="372"/>
      <c r="AI263" s="372"/>
      <c r="AJ263" s="372"/>
      <c r="AK263" s="372"/>
      <c r="AL263" s="372"/>
      <c r="AM263" s="372"/>
    </row>
    <row r="264" spans="23:39" x14ac:dyDescent="0.35">
      <c r="W264" s="371"/>
      <c r="X264" s="371"/>
      <c r="Y264" s="371"/>
      <c r="Z264" s="372"/>
      <c r="AA264" s="372"/>
      <c r="AB264" s="372"/>
      <c r="AC264" s="372"/>
      <c r="AD264" s="372"/>
      <c r="AE264" s="372"/>
      <c r="AF264" s="372"/>
      <c r="AG264" s="372"/>
      <c r="AH264" s="372"/>
      <c r="AI264" s="372"/>
      <c r="AJ264" s="372"/>
      <c r="AK264" s="372"/>
      <c r="AL264" s="372"/>
      <c r="AM264" s="372"/>
    </row>
    <row r="265" spans="23:39" x14ac:dyDescent="0.35">
      <c r="W265" s="371"/>
      <c r="X265" s="371"/>
      <c r="Y265" s="371"/>
      <c r="Z265" s="372"/>
      <c r="AA265" s="372"/>
      <c r="AB265" s="372"/>
      <c r="AC265" s="372"/>
      <c r="AD265" s="372"/>
      <c r="AE265" s="372"/>
      <c r="AF265" s="372"/>
      <c r="AG265" s="372"/>
      <c r="AH265" s="372"/>
      <c r="AI265" s="372"/>
      <c r="AJ265" s="372"/>
      <c r="AK265" s="372"/>
      <c r="AL265" s="372"/>
      <c r="AM265" s="372"/>
    </row>
    <row r="266" spans="23:39" x14ac:dyDescent="0.35">
      <c r="W266" s="371"/>
      <c r="X266" s="371"/>
      <c r="Y266" s="371"/>
      <c r="Z266" s="372"/>
      <c r="AA266" s="372"/>
      <c r="AB266" s="372"/>
      <c r="AC266" s="372"/>
      <c r="AD266" s="372"/>
      <c r="AE266" s="372"/>
      <c r="AF266" s="372"/>
      <c r="AG266" s="372"/>
      <c r="AH266" s="372"/>
      <c r="AI266" s="372"/>
      <c r="AJ266" s="372"/>
      <c r="AK266" s="372"/>
      <c r="AL266" s="372"/>
      <c r="AM266" s="372"/>
    </row>
    <row r="267" spans="23:39" x14ac:dyDescent="0.35">
      <c r="W267" s="371"/>
      <c r="X267" s="371"/>
      <c r="Y267" s="371"/>
      <c r="Z267" s="372"/>
      <c r="AA267" s="372"/>
      <c r="AB267" s="372"/>
      <c r="AC267" s="372"/>
      <c r="AD267" s="372"/>
      <c r="AE267" s="372"/>
      <c r="AF267" s="372"/>
      <c r="AG267" s="372"/>
      <c r="AH267" s="372"/>
      <c r="AI267" s="372"/>
      <c r="AJ267" s="372"/>
      <c r="AK267" s="372"/>
      <c r="AL267" s="372"/>
      <c r="AM267" s="372"/>
    </row>
    <row r="268" spans="23:39" x14ac:dyDescent="0.35">
      <c r="W268" s="371"/>
      <c r="X268" s="371"/>
      <c r="Y268" s="371"/>
      <c r="Z268" s="372"/>
      <c r="AA268" s="372"/>
      <c r="AB268" s="372"/>
      <c r="AC268" s="372"/>
      <c r="AD268" s="372"/>
      <c r="AE268" s="372"/>
      <c r="AF268" s="372"/>
      <c r="AG268" s="372"/>
      <c r="AH268" s="372"/>
      <c r="AI268" s="372"/>
      <c r="AJ268" s="372"/>
      <c r="AK268" s="372"/>
      <c r="AL268" s="372"/>
      <c r="AM268" s="372"/>
    </row>
    <row r="269" spans="23:39" x14ac:dyDescent="0.35">
      <c r="W269" s="371"/>
      <c r="X269" s="371"/>
      <c r="Y269" s="371"/>
      <c r="Z269" s="372"/>
      <c r="AA269" s="372"/>
      <c r="AB269" s="372"/>
      <c r="AC269" s="372"/>
      <c r="AD269" s="372"/>
      <c r="AE269" s="372"/>
      <c r="AF269" s="372"/>
      <c r="AG269" s="372"/>
      <c r="AH269" s="372"/>
      <c r="AI269" s="372"/>
      <c r="AJ269" s="372"/>
      <c r="AK269" s="372"/>
      <c r="AL269" s="372"/>
      <c r="AM269" s="372"/>
    </row>
    <row r="270" spans="23:39" x14ac:dyDescent="0.35">
      <c r="W270" s="371"/>
      <c r="X270" s="371"/>
      <c r="Y270" s="371"/>
      <c r="Z270" s="372"/>
      <c r="AA270" s="372"/>
      <c r="AB270" s="372"/>
      <c r="AC270" s="372"/>
      <c r="AD270" s="372"/>
      <c r="AE270" s="372"/>
      <c r="AF270" s="372"/>
      <c r="AG270" s="372"/>
      <c r="AH270" s="372"/>
      <c r="AI270" s="372"/>
      <c r="AJ270" s="372"/>
      <c r="AK270" s="372"/>
      <c r="AL270" s="372"/>
      <c r="AM270" s="372"/>
    </row>
    <row r="271" spans="23:39" x14ac:dyDescent="0.35">
      <c r="W271" s="371"/>
      <c r="X271" s="371"/>
      <c r="Y271" s="371"/>
      <c r="Z271" s="372"/>
      <c r="AA271" s="372"/>
      <c r="AB271" s="372"/>
      <c r="AC271" s="372"/>
      <c r="AD271" s="372"/>
      <c r="AE271" s="372"/>
      <c r="AF271" s="372"/>
      <c r="AG271" s="372"/>
      <c r="AH271" s="372"/>
      <c r="AI271" s="372"/>
      <c r="AJ271" s="372"/>
      <c r="AK271" s="372"/>
      <c r="AL271" s="372"/>
      <c r="AM271" s="372"/>
    </row>
    <row r="272" spans="23:39" x14ac:dyDescent="0.35">
      <c r="W272" s="371"/>
      <c r="X272" s="371"/>
      <c r="Y272" s="371"/>
      <c r="Z272" s="372"/>
      <c r="AA272" s="372"/>
      <c r="AB272" s="372"/>
      <c r="AC272" s="372"/>
      <c r="AD272" s="372"/>
      <c r="AE272" s="372"/>
      <c r="AF272" s="372"/>
      <c r="AG272" s="372"/>
      <c r="AH272" s="372"/>
      <c r="AI272" s="372"/>
      <c r="AJ272" s="372"/>
      <c r="AK272" s="372"/>
      <c r="AL272" s="372"/>
      <c r="AM272" s="372"/>
    </row>
    <row r="273" spans="23:39" x14ac:dyDescent="0.35">
      <c r="W273" s="371"/>
      <c r="X273" s="371"/>
      <c r="Y273" s="371"/>
      <c r="Z273" s="372"/>
      <c r="AA273" s="372"/>
      <c r="AB273" s="372"/>
      <c r="AC273" s="372"/>
      <c r="AD273" s="372"/>
      <c r="AE273" s="372"/>
      <c r="AF273" s="372"/>
      <c r="AG273" s="372"/>
      <c r="AH273" s="372"/>
      <c r="AI273" s="372"/>
      <c r="AJ273" s="372"/>
      <c r="AK273" s="372"/>
      <c r="AL273" s="372"/>
      <c r="AM273" s="372"/>
    </row>
    <row r="274" spans="23:39" x14ac:dyDescent="0.35">
      <c r="W274" s="371"/>
      <c r="X274" s="371"/>
      <c r="Y274" s="371"/>
      <c r="Z274" s="372"/>
      <c r="AA274" s="372"/>
      <c r="AB274" s="372"/>
      <c r="AC274" s="372"/>
      <c r="AD274" s="372"/>
      <c r="AE274" s="372"/>
      <c r="AF274" s="372"/>
      <c r="AG274" s="372"/>
      <c r="AH274" s="372"/>
      <c r="AI274" s="372"/>
      <c r="AJ274" s="372"/>
      <c r="AK274" s="372"/>
      <c r="AL274" s="372"/>
      <c r="AM274" s="372"/>
    </row>
    <row r="275" spans="23:39" x14ac:dyDescent="0.35">
      <c r="W275" s="371"/>
      <c r="X275" s="371"/>
      <c r="Y275" s="371"/>
      <c r="Z275" s="372"/>
      <c r="AA275" s="372"/>
      <c r="AB275" s="372"/>
      <c r="AC275" s="372"/>
      <c r="AD275" s="372"/>
      <c r="AE275" s="372"/>
      <c r="AF275" s="372"/>
      <c r="AG275" s="372"/>
      <c r="AH275" s="372"/>
      <c r="AI275" s="372"/>
      <c r="AJ275" s="372"/>
      <c r="AK275" s="372"/>
      <c r="AL275" s="372"/>
      <c r="AM275" s="372"/>
    </row>
    <row r="276" spans="23:39" x14ac:dyDescent="0.35">
      <c r="W276" s="371"/>
      <c r="X276" s="371"/>
      <c r="Y276" s="371"/>
      <c r="Z276" s="372"/>
      <c r="AA276" s="372"/>
      <c r="AB276" s="372"/>
      <c r="AC276" s="372"/>
      <c r="AD276" s="372"/>
      <c r="AE276" s="372"/>
      <c r="AF276" s="372"/>
      <c r="AG276" s="372"/>
      <c r="AH276" s="372"/>
      <c r="AI276" s="372"/>
      <c r="AJ276" s="372"/>
      <c r="AK276" s="372"/>
      <c r="AL276" s="372"/>
      <c r="AM276" s="372"/>
    </row>
    <row r="277" spans="23:39" x14ac:dyDescent="0.35">
      <c r="W277" s="371"/>
      <c r="X277" s="371"/>
      <c r="Y277" s="371"/>
      <c r="Z277" s="372"/>
      <c r="AA277" s="372"/>
      <c r="AB277" s="372"/>
      <c r="AC277" s="372"/>
      <c r="AD277" s="372"/>
      <c r="AE277" s="372"/>
      <c r="AF277" s="372"/>
      <c r="AG277" s="372"/>
      <c r="AH277" s="372"/>
      <c r="AI277" s="372"/>
      <c r="AJ277" s="372"/>
      <c r="AK277" s="372"/>
      <c r="AL277" s="372"/>
      <c r="AM277" s="372"/>
    </row>
    <row r="278" spans="23:39" x14ac:dyDescent="0.35">
      <c r="W278" s="371"/>
      <c r="X278" s="371"/>
      <c r="Y278" s="371"/>
      <c r="Z278" s="372"/>
      <c r="AA278" s="372"/>
      <c r="AB278" s="372"/>
      <c r="AC278" s="372"/>
      <c r="AD278" s="372"/>
      <c r="AE278" s="372"/>
      <c r="AF278" s="372"/>
      <c r="AG278" s="372"/>
      <c r="AH278" s="372"/>
      <c r="AI278" s="372"/>
      <c r="AJ278" s="372"/>
      <c r="AK278" s="372"/>
      <c r="AL278" s="372"/>
      <c r="AM278" s="372"/>
    </row>
    <row r="279" spans="23:39" x14ac:dyDescent="0.35">
      <c r="W279" s="371"/>
      <c r="X279" s="371"/>
      <c r="Y279" s="371"/>
      <c r="Z279" s="372"/>
      <c r="AA279" s="372"/>
      <c r="AB279" s="372"/>
      <c r="AC279" s="372"/>
      <c r="AD279" s="372"/>
      <c r="AE279" s="372"/>
      <c r="AF279" s="372"/>
      <c r="AG279" s="372"/>
      <c r="AH279" s="372"/>
      <c r="AI279" s="372"/>
      <c r="AJ279" s="372"/>
      <c r="AK279" s="372"/>
      <c r="AL279" s="372"/>
      <c r="AM279" s="372"/>
    </row>
    <row r="280" spans="23:39" x14ac:dyDescent="0.35">
      <c r="W280" s="371"/>
      <c r="X280" s="371"/>
      <c r="Y280" s="371"/>
      <c r="Z280" s="372"/>
      <c r="AA280" s="372"/>
      <c r="AB280" s="372"/>
      <c r="AC280" s="372"/>
      <c r="AD280" s="372"/>
      <c r="AE280" s="372"/>
      <c r="AF280" s="372"/>
      <c r="AG280" s="372"/>
      <c r="AH280" s="372"/>
      <c r="AI280" s="372"/>
      <c r="AJ280" s="372"/>
      <c r="AK280" s="372"/>
      <c r="AL280" s="372"/>
      <c r="AM280" s="372"/>
    </row>
    <row r="281" spans="23:39" x14ac:dyDescent="0.35">
      <c r="W281" s="371"/>
      <c r="X281" s="371"/>
      <c r="Y281" s="371"/>
      <c r="Z281" s="372"/>
      <c r="AA281" s="372"/>
      <c r="AB281" s="372"/>
      <c r="AC281" s="372"/>
      <c r="AD281" s="372"/>
      <c r="AE281" s="372"/>
      <c r="AF281" s="372"/>
      <c r="AG281" s="372"/>
      <c r="AH281" s="372"/>
      <c r="AI281" s="372"/>
      <c r="AJ281" s="372"/>
      <c r="AK281" s="372"/>
      <c r="AL281" s="372"/>
      <c r="AM281" s="372"/>
    </row>
    <row r="282" spans="23:39" x14ac:dyDescent="0.35">
      <c r="W282" s="371"/>
      <c r="X282" s="371"/>
      <c r="Y282" s="371"/>
      <c r="Z282" s="372"/>
      <c r="AA282" s="372"/>
      <c r="AB282" s="372"/>
      <c r="AC282" s="372"/>
      <c r="AD282" s="372"/>
      <c r="AE282" s="372"/>
      <c r="AF282" s="372"/>
      <c r="AG282" s="372"/>
      <c r="AH282" s="372"/>
      <c r="AI282" s="372"/>
      <c r="AJ282" s="372"/>
      <c r="AK282" s="372"/>
      <c r="AL282" s="372"/>
      <c r="AM282" s="372"/>
    </row>
    <row r="283" spans="23:39" x14ac:dyDescent="0.35">
      <c r="W283" s="371"/>
      <c r="X283" s="371"/>
      <c r="Y283" s="371"/>
      <c r="Z283" s="372"/>
      <c r="AA283" s="372"/>
      <c r="AB283" s="372"/>
      <c r="AC283" s="372"/>
      <c r="AD283" s="372"/>
      <c r="AE283" s="372"/>
      <c r="AF283" s="372"/>
      <c r="AG283" s="372"/>
      <c r="AH283" s="372"/>
      <c r="AI283" s="372"/>
      <c r="AJ283" s="372"/>
      <c r="AK283" s="372"/>
      <c r="AL283" s="372"/>
      <c r="AM283" s="372"/>
    </row>
    <row r="284" spans="23:39" x14ac:dyDescent="0.35">
      <c r="W284" s="371"/>
      <c r="X284" s="371"/>
      <c r="Y284" s="371"/>
      <c r="Z284" s="372"/>
      <c r="AA284" s="372"/>
      <c r="AB284" s="372"/>
      <c r="AC284" s="372"/>
      <c r="AD284" s="372"/>
      <c r="AE284" s="372"/>
      <c r="AF284" s="372"/>
      <c r="AG284" s="372"/>
      <c r="AH284" s="372"/>
      <c r="AI284" s="372"/>
      <c r="AJ284" s="372"/>
      <c r="AK284" s="372"/>
      <c r="AL284" s="372"/>
      <c r="AM284" s="372"/>
    </row>
    <row r="285" spans="23:39" x14ac:dyDescent="0.35">
      <c r="W285" s="371"/>
      <c r="X285" s="371"/>
      <c r="Y285" s="371"/>
      <c r="Z285" s="372"/>
      <c r="AA285" s="372"/>
      <c r="AB285" s="372"/>
      <c r="AC285" s="372"/>
      <c r="AD285" s="372"/>
      <c r="AE285" s="372"/>
      <c r="AF285" s="372"/>
      <c r="AG285" s="372"/>
      <c r="AH285" s="372"/>
      <c r="AI285" s="372"/>
      <c r="AJ285" s="372"/>
      <c r="AK285" s="372"/>
      <c r="AL285" s="372"/>
      <c r="AM285" s="372"/>
    </row>
    <row r="286" spans="23:39" x14ac:dyDescent="0.35">
      <c r="W286" s="371"/>
      <c r="X286" s="371"/>
      <c r="Y286" s="371"/>
      <c r="Z286" s="372"/>
      <c r="AA286" s="372"/>
      <c r="AB286" s="372"/>
      <c r="AC286" s="372"/>
      <c r="AD286" s="372"/>
      <c r="AE286" s="372"/>
      <c r="AF286" s="372"/>
      <c r="AG286" s="372"/>
      <c r="AH286" s="372"/>
      <c r="AI286" s="372"/>
      <c r="AJ286" s="372"/>
      <c r="AK286" s="372"/>
      <c r="AL286" s="372"/>
      <c r="AM286" s="372"/>
    </row>
    <row r="287" spans="23:39" x14ac:dyDescent="0.35">
      <c r="W287" s="371"/>
      <c r="X287" s="371"/>
      <c r="Y287" s="371"/>
      <c r="Z287" s="372"/>
      <c r="AA287" s="372"/>
      <c r="AB287" s="372"/>
      <c r="AC287" s="372"/>
      <c r="AD287" s="372"/>
      <c r="AE287" s="372"/>
      <c r="AF287" s="372"/>
      <c r="AG287" s="372"/>
      <c r="AH287" s="372"/>
      <c r="AI287" s="372"/>
      <c r="AJ287" s="372"/>
      <c r="AK287" s="372"/>
      <c r="AL287" s="372"/>
      <c r="AM287" s="372"/>
    </row>
    <row r="288" spans="23:39" x14ac:dyDescent="0.35">
      <c r="W288" s="371"/>
      <c r="X288" s="371"/>
      <c r="Y288" s="371"/>
      <c r="Z288" s="372"/>
      <c r="AA288" s="372"/>
      <c r="AB288" s="372"/>
      <c r="AC288" s="372"/>
      <c r="AD288" s="372"/>
      <c r="AE288" s="372"/>
      <c r="AF288" s="372"/>
      <c r="AG288" s="372"/>
      <c r="AH288" s="372"/>
      <c r="AI288" s="372"/>
      <c r="AJ288" s="372"/>
      <c r="AK288" s="372"/>
      <c r="AL288" s="372"/>
      <c r="AM288" s="372"/>
    </row>
    <row r="289" spans="23:39" x14ac:dyDescent="0.35">
      <c r="W289" s="371"/>
      <c r="X289" s="371"/>
      <c r="Y289" s="371"/>
      <c r="Z289" s="372"/>
      <c r="AA289" s="372"/>
      <c r="AB289" s="372"/>
      <c r="AC289" s="372"/>
      <c r="AD289" s="372"/>
      <c r="AE289" s="372"/>
      <c r="AF289" s="372"/>
      <c r="AG289" s="372"/>
      <c r="AH289" s="372"/>
      <c r="AI289" s="372"/>
      <c r="AJ289" s="372"/>
      <c r="AK289" s="372"/>
      <c r="AL289" s="372"/>
      <c r="AM289" s="372"/>
    </row>
    <row r="290" spans="23:39" x14ac:dyDescent="0.35">
      <c r="W290" s="371"/>
      <c r="X290" s="371"/>
      <c r="Y290" s="371"/>
      <c r="Z290" s="372"/>
      <c r="AA290" s="372"/>
      <c r="AB290" s="372"/>
      <c r="AC290" s="372"/>
      <c r="AD290" s="372"/>
      <c r="AE290" s="372"/>
      <c r="AF290" s="372"/>
      <c r="AG290" s="372"/>
      <c r="AH290" s="372"/>
      <c r="AI290" s="372"/>
      <c r="AJ290" s="372"/>
      <c r="AK290" s="372"/>
      <c r="AL290" s="372"/>
      <c r="AM290" s="372"/>
    </row>
    <row r="291" spans="23:39" x14ac:dyDescent="0.35">
      <c r="W291" s="371"/>
      <c r="X291" s="371"/>
      <c r="Y291" s="371"/>
      <c r="Z291" s="372"/>
      <c r="AA291" s="372"/>
      <c r="AB291" s="372"/>
      <c r="AC291" s="372"/>
      <c r="AD291" s="372"/>
      <c r="AE291" s="372"/>
      <c r="AF291" s="372"/>
      <c r="AG291" s="372"/>
      <c r="AH291" s="372"/>
      <c r="AI291" s="372"/>
      <c r="AJ291" s="372"/>
      <c r="AK291" s="372"/>
      <c r="AL291" s="372"/>
      <c r="AM291" s="372"/>
    </row>
    <row r="292" spans="23:39" x14ac:dyDescent="0.35">
      <c r="W292" s="371"/>
      <c r="X292" s="371"/>
      <c r="Y292" s="371"/>
      <c r="Z292" s="372"/>
      <c r="AA292" s="372"/>
      <c r="AB292" s="372"/>
      <c r="AC292" s="372"/>
      <c r="AD292" s="372"/>
      <c r="AE292" s="372"/>
      <c r="AF292" s="372"/>
      <c r="AG292" s="372"/>
      <c r="AH292" s="372"/>
      <c r="AI292" s="372"/>
      <c r="AJ292" s="372"/>
      <c r="AK292" s="372"/>
      <c r="AL292" s="372"/>
      <c r="AM292" s="372"/>
    </row>
    <row r="293" spans="23:39" x14ac:dyDescent="0.35">
      <c r="W293" s="371"/>
      <c r="X293" s="371"/>
      <c r="Y293" s="371"/>
      <c r="Z293" s="372"/>
      <c r="AA293" s="372"/>
      <c r="AB293" s="372"/>
      <c r="AC293" s="372"/>
      <c r="AD293" s="372"/>
      <c r="AE293" s="372"/>
      <c r="AF293" s="372"/>
      <c r="AG293" s="372"/>
      <c r="AH293" s="372"/>
      <c r="AI293" s="372"/>
      <c r="AJ293" s="372"/>
      <c r="AK293" s="372"/>
      <c r="AL293" s="372"/>
      <c r="AM293" s="372"/>
    </row>
    <row r="294" spans="23:39" x14ac:dyDescent="0.35">
      <c r="W294" s="371"/>
      <c r="X294" s="371"/>
      <c r="Y294" s="371"/>
      <c r="Z294" s="372"/>
      <c r="AA294" s="372"/>
      <c r="AB294" s="372"/>
      <c r="AC294" s="372"/>
      <c r="AD294" s="372"/>
      <c r="AE294" s="372"/>
      <c r="AF294" s="372"/>
      <c r="AG294" s="372"/>
      <c r="AH294" s="372"/>
      <c r="AI294" s="372"/>
      <c r="AJ294" s="372"/>
      <c r="AK294" s="372"/>
      <c r="AL294" s="372"/>
      <c r="AM294" s="372"/>
    </row>
    <row r="295" spans="23:39" x14ac:dyDescent="0.35">
      <c r="W295" s="371"/>
      <c r="X295" s="371"/>
      <c r="Y295" s="371"/>
      <c r="Z295" s="372"/>
      <c r="AA295" s="372"/>
      <c r="AB295" s="372"/>
      <c r="AC295" s="372"/>
      <c r="AD295" s="372"/>
      <c r="AE295" s="372"/>
      <c r="AF295" s="372"/>
      <c r="AG295" s="372"/>
      <c r="AH295" s="372"/>
      <c r="AI295" s="372"/>
      <c r="AJ295" s="372"/>
      <c r="AK295" s="372"/>
      <c r="AL295" s="372"/>
      <c r="AM295" s="372"/>
    </row>
    <row r="296" spans="23:39" x14ac:dyDescent="0.35">
      <c r="W296" s="371"/>
      <c r="X296" s="371"/>
      <c r="Y296" s="371"/>
      <c r="Z296" s="372"/>
      <c r="AA296" s="372"/>
      <c r="AB296" s="372"/>
      <c r="AC296" s="372"/>
      <c r="AD296" s="372"/>
      <c r="AE296" s="372"/>
      <c r="AF296" s="372"/>
      <c r="AG296" s="372"/>
      <c r="AH296" s="372"/>
      <c r="AI296" s="372"/>
      <c r="AJ296" s="372"/>
      <c r="AK296" s="372"/>
      <c r="AL296" s="372"/>
      <c r="AM296" s="372"/>
    </row>
    <row r="297" spans="23:39" x14ac:dyDescent="0.35">
      <c r="W297" s="371"/>
      <c r="X297" s="371"/>
      <c r="Y297" s="371"/>
      <c r="Z297" s="372"/>
      <c r="AA297" s="372"/>
      <c r="AB297" s="372"/>
      <c r="AC297" s="372"/>
      <c r="AD297" s="372"/>
      <c r="AE297" s="372"/>
      <c r="AF297" s="372"/>
      <c r="AG297" s="372"/>
      <c r="AH297" s="372"/>
      <c r="AI297" s="372"/>
      <c r="AJ297" s="372"/>
      <c r="AK297" s="372"/>
      <c r="AL297" s="372"/>
      <c r="AM297" s="372"/>
    </row>
    <row r="298" spans="23:39" x14ac:dyDescent="0.35">
      <c r="W298" s="371"/>
      <c r="X298" s="371"/>
      <c r="Y298" s="371"/>
      <c r="Z298" s="372"/>
      <c r="AA298" s="372"/>
      <c r="AB298" s="372"/>
      <c r="AC298" s="372"/>
      <c r="AD298" s="372"/>
      <c r="AE298" s="372"/>
      <c r="AF298" s="372"/>
      <c r="AG298" s="372"/>
      <c r="AH298" s="372"/>
      <c r="AI298" s="372"/>
      <c r="AJ298" s="372"/>
      <c r="AK298" s="372"/>
      <c r="AL298" s="372"/>
      <c r="AM298" s="372"/>
    </row>
    <row r="299" spans="23:39" x14ac:dyDescent="0.35">
      <c r="W299" s="371"/>
      <c r="X299" s="371"/>
      <c r="Y299" s="371"/>
      <c r="Z299" s="372"/>
      <c r="AA299" s="372"/>
      <c r="AB299" s="372"/>
      <c r="AC299" s="372"/>
      <c r="AD299" s="372"/>
      <c r="AE299" s="372"/>
      <c r="AF299" s="372"/>
      <c r="AG299" s="372"/>
      <c r="AH299" s="372"/>
      <c r="AI299" s="372"/>
      <c r="AJ299" s="372"/>
      <c r="AK299" s="372"/>
      <c r="AL299" s="372"/>
      <c r="AM299" s="372"/>
    </row>
    <row r="300" spans="23:39" x14ac:dyDescent="0.35">
      <c r="W300" s="371"/>
      <c r="X300" s="371"/>
      <c r="Y300" s="371"/>
      <c r="Z300" s="372"/>
      <c r="AA300" s="372"/>
      <c r="AB300" s="372"/>
      <c r="AC300" s="372"/>
      <c r="AD300" s="372"/>
      <c r="AE300" s="372"/>
      <c r="AF300" s="372"/>
      <c r="AG300" s="372"/>
      <c r="AH300" s="372"/>
      <c r="AI300" s="372"/>
      <c r="AJ300" s="372"/>
      <c r="AK300" s="372"/>
      <c r="AL300" s="372"/>
      <c r="AM300" s="372"/>
    </row>
    <row r="301" spans="23:39" x14ac:dyDescent="0.35">
      <c r="W301" s="371"/>
      <c r="X301" s="371"/>
      <c r="Y301" s="371"/>
      <c r="Z301" s="372"/>
      <c r="AA301" s="372"/>
      <c r="AB301" s="372"/>
      <c r="AC301" s="372"/>
      <c r="AD301" s="372"/>
      <c r="AE301" s="372"/>
      <c r="AF301" s="372"/>
      <c r="AG301" s="372"/>
      <c r="AH301" s="372"/>
      <c r="AI301" s="372"/>
      <c r="AJ301" s="372"/>
      <c r="AK301" s="372"/>
      <c r="AL301" s="372"/>
      <c r="AM301" s="372"/>
    </row>
    <row r="302" spans="23:39" x14ac:dyDescent="0.35">
      <c r="W302" s="371"/>
      <c r="X302" s="371"/>
      <c r="Y302" s="371"/>
      <c r="Z302" s="372"/>
      <c r="AA302" s="372"/>
      <c r="AB302" s="372"/>
      <c r="AC302" s="372"/>
      <c r="AD302" s="372"/>
      <c r="AE302" s="372"/>
      <c r="AF302" s="372"/>
      <c r="AG302" s="372"/>
      <c r="AH302" s="372"/>
      <c r="AI302" s="372"/>
      <c r="AJ302" s="372"/>
      <c r="AK302" s="372"/>
      <c r="AL302" s="372"/>
      <c r="AM302" s="372"/>
    </row>
    <row r="303" spans="23:39" x14ac:dyDescent="0.35">
      <c r="W303" s="371"/>
      <c r="X303" s="371"/>
      <c r="Y303" s="371"/>
      <c r="Z303" s="372"/>
      <c r="AA303" s="372"/>
      <c r="AB303" s="372"/>
      <c r="AC303" s="372"/>
      <c r="AD303" s="372"/>
      <c r="AE303" s="372"/>
      <c r="AF303" s="372"/>
      <c r="AG303" s="372"/>
      <c r="AH303" s="372"/>
      <c r="AI303" s="372"/>
      <c r="AJ303" s="372"/>
      <c r="AK303" s="372"/>
      <c r="AL303" s="372"/>
      <c r="AM303" s="372"/>
    </row>
    <row r="304" spans="23:39" x14ac:dyDescent="0.35">
      <c r="W304" s="371"/>
      <c r="X304" s="371"/>
      <c r="Y304" s="371"/>
      <c r="Z304" s="372"/>
      <c r="AA304" s="372"/>
      <c r="AB304" s="372"/>
      <c r="AC304" s="372"/>
      <c r="AD304" s="372"/>
      <c r="AE304" s="372"/>
      <c r="AF304" s="372"/>
      <c r="AG304" s="372"/>
      <c r="AH304" s="372"/>
      <c r="AI304" s="372"/>
      <c r="AJ304" s="372"/>
      <c r="AK304" s="372"/>
      <c r="AL304" s="372"/>
      <c r="AM304" s="372"/>
    </row>
    <row r="305" spans="23:39" x14ac:dyDescent="0.35">
      <c r="W305" s="371"/>
      <c r="X305" s="371"/>
      <c r="Y305" s="371"/>
      <c r="Z305" s="372"/>
      <c r="AA305" s="372"/>
      <c r="AB305" s="372"/>
      <c r="AC305" s="372"/>
      <c r="AD305" s="372"/>
      <c r="AE305" s="372"/>
      <c r="AF305" s="372"/>
      <c r="AG305" s="372"/>
      <c r="AH305" s="372"/>
      <c r="AI305" s="372"/>
      <c r="AJ305" s="372"/>
      <c r="AK305" s="372"/>
      <c r="AL305" s="372"/>
      <c r="AM305" s="372"/>
    </row>
    <row r="306" spans="23:39" x14ac:dyDescent="0.35">
      <c r="W306" s="371"/>
      <c r="X306" s="371"/>
      <c r="Y306" s="371"/>
      <c r="Z306" s="372"/>
      <c r="AA306" s="372"/>
      <c r="AB306" s="372"/>
      <c r="AC306" s="372"/>
      <c r="AD306" s="372"/>
      <c r="AE306" s="372"/>
      <c r="AF306" s="372"/>
      <c r="AG306" s="372"/>
      <c r="AH306" s="372"/>
      <c r="AI306" s="372"/>
      <c r="AJ306" s="372"/>
      <c r="AK306" s="372"/>
      <c r="AL306" s="372"/>
      <c r="AM306" s="372"/>
    </row>
    <row r="307" spans="23:39" x14ac:dyDescent="0.35">
      <c r="W307" s="371"/>
      <c r="X307" s="371"/>
      <c r="Y307" s="371"/>
      <c r="Z307" s="372"/>
      <c r="AA307" s="372"/>
      <c r="AB307" s="372"/>
      <c r="AC307" s="372"/>
      <c r="AD307" s="372"/>
      <c r="AE307" s="372"/>
      <c r="AF307" s="372"/>
      <c r="AG307" s="372"/>
      <c r="AH307" s="372"/>
      <c r="AI307" s="372"/>
      <c r="AJ307" s="372"/>
      <c r="AK307" s="372"/>
      <c r="AL307" s="372"/>
      <c r="AM307" s="372"/>
    </row>
    <row r="308" spans="23:39" x14ac:dyDescent="0.35">
      <c r="W308" s="371"/>
      <c r="X308" s="371"/>
      <c r="Y308" s="371"/>
      <c r="Z308" s="372"/>
      <c r="AA308" s="372"/>
      <c r="AB308" s="372"/>
      <c r="AC308" s="372"/>
      <c r="AD308" s="372"/>
      <c r="AE308" s="372"/>
      <c r="AF308" s="372"/>
      <c r="AG308" s="372"/>
      <c r="AH308" s="372"/>
      <c r="AI308" s="372"/>
      <c r="AJ308" s="372"/>
      <c r="AK308" s="372"/>
      <c r="AL308" s="372"/>
      <c r="AM308" s="372"/>
    </row>
    <row r="309" spans="23:39" x14ac:dyDescent="0.35">
      <c r="W309" s="371"/>
      <c r="X309" s="371"/>
      <c r="Y309" s="371"/>
      <c r="Z309" s="372"/>
      <c r="AA309" s="372"/>
      <c r="AB309" s="372"/>
      <c r="AC309" s="372"/>
      <c r="AD309" s="372"/>
      <c r="AE309" s="372"/>
      <c r="AF309" s="372"/>
      <c r="AG309" s="372"/>
      <c r="AH309" s="372"/>
      <c r="AI309" s="372"/>
      <c r="AJ309" s="372"/>
      <c r="AK309" s="372"/>
      <c r="AL309" s="372"/>
      <c r="AM309" s="372"/>
    </row>
    <row r="310" spans="23:39" x14ac:dyDescent="0.35">
      <c r="W310" s="371"/>
      <c r="X310" s="371"/>
      <c r="Y310" s="371"/>
      <c r="Z310" s="372"/>
      <c r="AA310" s="372"/>
      <c r="AB310" s="372"/>
      <c r="AC310" s="372"/>
      <c r="AD310" s="372"/>
      <c r="AE310" s="372"/>
      <c r="AF310" s="372"/>
      <c r="AG310" s="372"/>
      <c r="AH310" s="372"/>
      <c r="AI310" s="372"/>
      <c r="AJ310" s="372"/>
      <c r="AK310" s="372"/>
      <c r="AL310" s="372"/>
      <c r="AM310" s="372"/>
    </row>
    <row r="311" spans="23:39" x14ac:dyDescent="0.35">
      <c r="W311" s="371"/>
      <c r="X311" s="371"/>
      <c r="Y311" s="371"/>
      <c r="Z311" s="372"/>
      <c r="AA311" s="372"/>
      <c r="AB311" s="372"/>
      <c r="AC311" s="372"/>
      <c r="AD311" s="372"/>
      <c r="AE311" s="372"/>
      <c r="AF311" s="372"/>
      <c r="AG311" s="372"/>
      <c r="AH311" s="372"/>
      <c r="AI311" s="372"/>
      <c r="AJ311" s="372"/>
      <c r="AK311" s="372"/>
      <c r="AL311" s="372"/>
      <c r="AM311" s="372"/>
    </row>
    <row r="312" spans="23:39" x14ac:dyDescent="0.35">
      <c r="W312" s="371"/>
      <c r="X312" s="371"/>
      <c r="Y312" s="371"/>
      <c r="Z312" s="372"/>
      <c r="AA312" s="372"/>
      <c r="AB312" s="372"/>
      <c r="AC312" s="372"/>
      <c r="AD312" s="372"/>
      <c r="AE312" s="372"/>
      <c r="AF312" s="372"/>
      <c r="AG312" s="372"/>
      <c r="AH312" s="372"/>
      <c r="AI312" s="372"/>
      <c r="AJ312" s="372"/>
      <c r="AK312" s="372"/>
      <c r="AL312" s="372"/>
      <c r="AM312" s="372"/>
    </row>
    <row r="313" spans="23:39" x14ac:dyDescent="0.35">
      <c r="W313" s="371"/>
      <c r="X313" s="371"/>
      <c r="Y313" s="371"/>
      <c r="Z313" s="372"/>
      <c r="AA313" s="372"/>
      <c r="AB313" s="372"/>
      <c r="AC313" s="372"/>
      <c r="AD313" s="372"/>
      <c r="AE313" s="372"/>
      <c r="AF313" s="372"/>
      <c r="AG313" s="372"/>
      <c r="AH313" s="372"/>
      <c r="AI313" s="372"/>
      <c r="AJ313" s="372"/>
      <c r="AK313" s="372"/>
      <c r="AL313" s="372"/>
      <c r="AM313" s="372"/>
    </row>
    <row r="314" spans="23:39" x14ac:dyDescent="0.35">
      <c r="W314" s="371"/>
      <c r="X314" s="371"/>
      <c r="Y314" s="371"/>
      <c r="Z314" s="372"/>
      <c r="AA314" s="372"/>
      <c r="AB314" s="372"/>
      <c r="AC314" s="372"/>
      <c r="AD314" s="372"/>
      <c r="AE314" s="372"/>
      <c r="AF314" s="372"/>
      <c r="AG314" s="372"/>
      <c r="AH314" s="372"/>
      <c r="AI314" s="372"/>
      <c r="AJ314" s="372"/>
      <c r="AK314" s="372"/>
      <c r="AL314" s="372"/>
      <c r="AM314" s="372"/>
    </row>
    <row r="315" spans="23:39" x14ac:dyDescent="0.35">
      <c r="W315" s="371"/>
      <c r="X315" s="371"/>
      <c r="Y315" s="371"/>
      <c r="Z315" s="372"/>
      <c r="AA315" s="372"/>
      <c r="AB315" s="372"/>
      <c r="AC315" s="372"/>
      <c r="AD315" s="372"/>
      <c r="AE315" s="372"/>
      <c r="AF315" s="372"/>
      <c r="AG315" s="372"/>
      <c r="AH315" s="372"/>
      <c r="AI315" s="372"/>
      <c r="AJ315" s="372"/>
      <c r="AK315" s="372"/>
      <c r="AL315" s="372"/>
      <c r="AM315" s="372"/>
    </row>
    <row r="316" spans="23:39" x14ac:dyDescent="0.35">
      <c r="W316" s="371"/>
      <c r="X316" s="371"/>
      <c r="Y316" s="371"/>
      <c r="Z316" s="372"/>
      <c r="AA316" s="372"/>
      <c r="AB316" s="372"/>
      <c r="AC316" s="372"/>
      <c r="AD316" s="372"/>
      <c r="AE316" s="372"/>
      <c r="AF316" s="372"/>
      <c r="AG316" s="372"/>
      <c r="AH316" s="372"/>
      <c r="AI316" s="372"/>
      <c r="AJ316" s="372"/>
      <c r="AK316" s="372"/>
      <c r="AL316" s="372"/>
      <c r="AM316" s="372"/>
    </row>
    <row r="317" spans="23:39" x14ac:dyDescent="0.35">
      <c r="W317" s="371"/>
      <c r="X317" s="371"/>
      <c r="Y317" s="371"/>
      <c r="Z317" s="372"/>
      <c r="AA317" s="372"/>
      <c r="AB317" s="372"/>
      <c r="AC317" s="372"/>
      <c r="AD317" s="372"/>
      <c r="AE317" s="372"/>
      <c r="AF317" s="372"/>
      <c r="AG317" s="372"/>
      <c r="AH317" s="372"/>
      <c r="AI317" s="372"/>
      <c r="AJ317" s="372"/>
      <c r="AK317" s="372"/>
      <c r="AL317" s="372"/>
      <c r="AM317" s="372"/>
    </row>
    <row r="318" spans="23:39" x14ac:dyDescent="0.35">
      <c r="W318" s="371"/>
      <c r="X318" s="371"/>
      <c r="Y318" s="371"/>
      <c r="Z318" s="372"/>
      <c r="AA318" s="372"/>
      <c r="AB318" s="372"/>
      <c r="AC318" s="372"/>
      <c r="AD318" s="372"/>
      <c r="AE318" s="372"/>
      <c r="AF318" s="372"/>
      <c r="AG318" s="372"/>
      <c r="AH318" s="372"/>
      <c r="AI318" s="372"/>
      <c r="AJ318" s="372"/>
      <c r="AK318" s="372"/>
      <c r="AL318" s="372"/>
      <c r="AM318" s="372"/>
    </row>
    <row r="319" spans="23:39" x14ac:dyDescent="0.35">
      <c r="W319" s="371"/>
      <c r="X319" s="371"/>
      <c r="Y319" s="371"/>
      <c r="Z319" s="372"/>
      <c r="AA319" s="372"/>
      <c r="AB319" s="372"/>
      <c r="AC319" s="372"/>
      <c r="AD319" s="372"/>
      <c r="AE319" s="372"/>
      <c r="AF319" s="372"/>
      <c r="AG319" s="372"/>
      <c r="AH319" s="372"/>
      <c r="AI319" s="372"/>
      <c r="AJ319" s="372"/>
      <c r="AK319" s="372"/>
      <c r="AL319" s="372"/>
      <c r="AM319" s="372"/>
    </row>
    <row r="320" spans="23:39" x14ac:dyDescent="0.35">
      <c r="W320" s="371"/>
      <c r="X320" s="371"/>
      <c r="Y320" s="371"/>
      <c r="Z320" s="372"/>
      <c r="AA320" s="372"/>
      <c r="AB320" s="372"/>
      <c r="AC320" s="372"/>
      <c r="AD320" s="372"/>
      <c r="AE320" s="372"/>
      <c r="AF320" s="372"/>
      <c r="AG320" s="372"/>
      <c r="AH320" s="372"/>
      <c r="AI320" s="372"/>
      <c r="AJ320" s="372"/>
      <c r="AK320" s="372"/>
      <c r="AL320" s="372"/>
      <c r="AM320" s="372"/>
    </row>
    <row r="321" spans="23:39" x14ac:dyDescent="0.35">
      <c r="W321" s="371"/>
      <c r="X321" s="371"/>
      <c r="Y321" s="371"/>
      <c r="Z321" s="372"/>
      <c r="AA321" s="372"/>
      <c r="AB321" s="372"/>
      <c r="AC321" s="372"/>
      <c r="AD321" s="372"/>
      <c r="AE321" s="372"/>
      <c r="AF321" s="372"/>
      <c r="AG321" s="372"/>
      <c r="AH321" s="372"/>
      <c r="AI321" s="372"/>
      <c r="AJ321" s="372"/>
      <c r="AK321" s="372"/>
      <c r="AL321" s="372"/>
      <c r="AM321" s="372"/>
    </row>
    <row r="322" spans="23:39" x14ac:dyDescent="0.35">
      <c r="W322" s="371"/>
      <c r="X322" s="371"/>
      <c r="Y322" s="371"/>
      <c r="Z322" s="372"/>
      <c r="AA322" s="372"/>
      <c r="AB322" s="372"/>
      <c r="AC322" s="372"/>
      <c r="AD322" s="372"/>
      <c r="AE322" s="372"/>
      <c r="AF322" s="372"/>
      <c r="AG322" s="372"/>
      <c r="AH322" s="372"/>
      <c r="AI322" s="372"/>
      <c r="AJ322" s="372"/>
      <c r="AK322" s="372"/>
      <c r="AL322" s="372"/>
      <c r="AM322" s="372"/>
    </row>
    <row r="323" spans="23:39" x14ac:dyDescent="0.35">
      <c r="W323" s="371"/>
      <c r="X323" s="371"/>
      <c r="Y323" s="371"/>
      <c r="Z323" s="372"/>
      <c r="AA323" s="372"/>
      <c r="AB323" s="372"/>
      <c r="AC323" s="372"/>
      <c r="AD323" s="372"/>
      <c r="AE323" s="372"/>
      <c r="AF323" s="372"/>
      <c r="AG323" s="372"/>
      <c r="AH323" s="372"/>
      <c r="AI323" s="372"/>
      <c r="AJ323" s="372"/>
      <c r="AK323" s="372"/>
      <c r="AL323" s="372"/>
      <c r="AM323" s="372"/>
    </row>
    <row r="324" spans="23:39" x14ac:dyDescent="0.35">
      <c r="W324" s="371"/>
      <c r="X324" s="371"/>
      <c r="Y324" s="371"/>
      <c r="Z324" s="372"/>
      <c r="AA324" s="372"/>
      <c r="AB324" s="372"/>
      <c r="AC324" s="372"/>
      <c r="AD324" s="372"/>
      <c r="AE324" s="372"/>
      <c r="AF324" s="372"/>
      <c r="AG324" s="372"/>
      <c r="AH324" s="372"/>
      <c r="AI324" s="372"/>
      <c r="AJ324" s="372"/>
      <c r="AK324" s="372"/>
      <c r="AL324" s="372"/>
      <c r="AM324" s="372"/>
    </row>
    <row r="325" spans="23:39" x14ac:dyDescent="0.35">
      <c r="W325" s="371"/>
      <c r="X325" s="371"/>
      <c r="Y325" s="371"/>
      <c r="Z325" s="372"/>
      <c r="AA325" s="372"/>
      <c r="AB325" s="372"/>
      <c r="AC325" s="372"/>
      <c r="AD325" s="372"/>
      <c r="AE325" s="372"/>
      <c r="AF325" s="372"/>
      <c r="AG325" s="372"/>
      <c r="AH325" s="372"/>
      <c r="AI325" s="372"/>
      <c r="AJ325" s="372"/>
      <c r="AK325" s="372"/>
      <c r="AL325" s="372"/>
      <c r="AM325" s="372"/>
    </row>
    <row r="326" spans="23:39" x14ac:dyDescent="0.35">
      <c r="W326" s="371"/>
      <c r="X326" s="371"/>
      <c r="Y326" s="371"/>
      <c r="Z326" s="372"/>
      <c r="AA326" s="372"/>
      <c r="AB326" s="372"/>
      <c r="AC326" s="372"/>
      <c r="AD326" s="372"/>
      <c r="AE326" s="372"/>
      <c r="AF326" s="372"/>
      <c r="AG326" s="372"/>
      <c r="AH326" s="372"/>
      <c r="AI326" s="372"/>
      <c r="AJ326" s="372"/>
      <c r="AK326" s="372"/>
      <c r="AL326" s="372"/>
      <c r="AM326" s="372"/>
    </row>
    <row r="327" spans="23:39" x14ac:dyDescent="0.35">
      <c r="W327" s="371"/>
      <c r="X327" s="371"/>
      <c r="Y327" s="371"/>
      <c r="Z327" s="372"/>
      <c r="AA327" s="372"/>
      <c r="AB327" s="372"/>
      <c r="AC327" s="372"/>
      <c r="AD327" s="372"/>
      <c r="AE327" s="372"/>
      <c r="AF327" s="372"/>
      <c r="AG327" s="372"/>
      <c r="AH327" s="372"/>
      <c r="AI327" s="372"/>
      <c r="AJ327" s="372"/>
      <c r="AK327" s="372"/>
      <c r="AL327" s="372"/>
      <c r="AM327" s="372"/>
    </row>
    <row r="328" spans="23:39" x14ac:dyDescent="0.35">
      <c r="W328" s="371"/>
      <c r="X328" s="371"/>
      <c r="Y328" s="371"/>
      <c r="Z328" s="372"/>
      <c r="AA328" s="372"/>
      <c r="AB328" s="372"/>
      <c r="AC328" s="372"/>
      <c r="AD328" s="372"/>
      <c r="AE328" s="372"/>
      <c r="AF328" s="372"/>
      <c r="AG328" s="372"/>
      <c r="AH328" s="372"/>
      <c r="AI328" s="372"/>
      <c r="AJ328" s="372"/>
      <c r="AK328" s="372"/>
      <c r="AL328" s="372"/>
      <c r="AM328" s="372"/>
    </row>
    <row r="329" spans="23:39" x14ac:dyDescent="0.35">
      <c r="W329" s="371"/>
      <c r="X329" s="371"/>
      <c r="Y329" s="371"/>
      <c r="Z329" s="372"/>
      <c r="AA329" s="372"/>
      <c r="AB329" s="372"/>
      <c r="AC329" s="372"/>
      <c r="AD329" s="372"/>
      <c r="AE329" s="372"/>
      <c r="AF329" s="372"/>
      <c r="AG329" s="372"/>
      <c r="AH329" s="372"/>
      <c r="AI329" s="372"/>
      <c r="AJ329" s="372"/>
      <c r="AK329" s="372"/>
      <c r="AL329" s="372"/>
      <c r="AM329" s="372"/>
    </row>
    <row r="330" spans="23:39" x14ac:dyDescent="0.35">
      <c r="W330" s="371"/>
      <c r="X330" s="371"/>
      <c r="Y330" s="371"/>
      <c r="Z330" s="372"/>
      <c r="AA330" s="372"/>
      <c r="AB330" s="372"/>
      <c r="AC330" s="372"/>
      <c r="AD330" s="372"/>
      <c r="AE330" s="372"/>
      <c r="AF330" s="372"/>
      <c r="AG330" s="372"/>
      <c r="AH330" s="372"/>
      <c r="AI330" s="372"/>
      <c r="AJ330" s="372"/>
      <c r="AK330" s="372"/>
      <c r="AL330" s="372"/>
      <c r="AM330" s="372"/>
    </row>
    <row r="331" spans="23:39" x14ac:dyDescent="0.35">
      <c r="W331" s="371"/>
      <c r="X331" s="371"/>
      <c r="Y331" s="371"/>
      <c r="Z331" s="372"/>
      <c r="AA331" s="372"/>
      <c r="AB331" s="372"/>
      <c r="AC331" s="372"/>
      <c r="AD331" s="372"/>
      <c r="AE331" s="372"/>
      <c r="AF331" s="372"/>
      <c r="AG331" s="372"/>
      <c r="AH331" s="372"/>
      <c r="AI331" s="372"/>
      <c r="AJ331" s="372"/>
      <c r="AK331" s="372"/>
      <c r="AL331" s="372"/>
      <c r="AM331" s="372"/>
    </row>
    <row r="332" spans="23:39" x14ac:dyDescent="0.35">
      <c r="W332" s="371"/>
      <c r="X332" s="371"/>
      <c r="Y332" s="371"/>
      <c r="Z332" s="372"/>
      <c r="AA332" s="372"/>
      <c r="AB332" s="372"/>
      <c r="AC332" s="372"/>
      <c r="AD332" s="372"/>
      <c r="AE332" s="372"/>
      <c r="AF332" s="372"/>
      <c r="AG332" s="372"/>
      <c r="AH332" s="372"/>
      <c r="AI332" s="372"/>
      <c r="AJ332" s="372"/>
      <c r="AK332" s="372"/>
      <c r="AL332" s="372"/>
      <c r="AM332" s="372"/>
    </row>
    <row r="333" spans="23:39" x14ac:dyDescent="0.35">
      <c r="W333" s="371"/>
      <c r="X333" s="371"/>
      <c r="Y333" s="371"/>
      <c r="Z333" s="372"/>
      <c r="AA333" s="372"/>
      <c r="AB333" s="372"/>
      <c r="AC333" s="372"/>
      <c r="AD333" s="372"/>
      <c r="AE333" s="372"/>
      <c r="AF333" s="372"/>
      <c r="AG333" s="372"/>
      <c r="AH333" s="372"/>
      <c r="AI333" s="372"/>
      <c r="AJ333" s="372"/>
      <c r="AK333" s="372"/>
      <c r="AL333" s="372"/>
      <c r="AM333" s="372"/>
    </row>
    <row r="334" spans="23:39" x14ac:dyDescent="0.35">
      <c r="W334" s="371"/>
      <c r="X334" s="371"/>
      <c r="Y334" s="371"/>
      <c r="Z334" s="372"/>
      <c r="AA334" s="372"/>
      <c r="AB334" s="372"/>
      <c r="AC334" s="372"/>
      <c r="AD334" s="372"/>
      <c r="AE334" s="372"/>
      <c r="AF334" s="372"/>
      <c r="AG334" s="372"/>
      <c r="AH334" s="372"/>
      <c r="AI334" s="372"/>
      <c r="AJ334" s="372"/>
      <c r="AK334" s="372"/>
      <c r="AL334" s="372"/>
      <c r="AM334" s="372"/>
    </row>
    <row r="335" spans="23:39" x14ac:dyDescent="0.35">
      <c r="W335" s="371"/>
      <c r="X335" s="371"/>
      <c r="Y335" s="371"/>
      <c r="Z335" s="372"/>
      <c r="AA335" s="372"/>
      <c r="AB335" s="372"/>
      <c r="AC335" s="372"/>
      <c r="AD335" s="372"/>
      <c r="AE335" s="372"/>
      <c r="AF335" s="372"/>
      <c r="AG335" s="372"/>
      <c r="AH335" s="372"/>
      <c r="AI335" s="372"/>
      <c r="AJ335" s="372"/>
      <c r="AK335" s="372"/>
      <c r="AL335" s="372"/>
      <c r="AM335" s="372"/>
    </row>
    <row r="336" spans="23:39" x14ac:dyDescent="0.35">
      <c r="W336" s="371"/>
      <c r="X336" s="371"/>
      <c r="Y336" s="371"/>
      <c r="Z336" s="372"/>
      <c r="AA336" s="372"/>
      <c r="AB336" s="372"/>
      <c r="AC336" s="372"/>
      <c r="AD336" s="372"/>
      <c r="AE336" s="372"/>
      <c r="AF336" s="372"/>
      <c r="AG336" s="372"/>
      <c r="AH336" s="372"/>
      <c r="AI336" s="372"/>
      <c r="AJ336" s="372"/>
      <c r="AK336" s="372"/>
      <c r="AL336" s="372"/>
      <c r="AM336" s="372"/>
    </row>
    <row r="337" spans="23:39" x14ac:dyDescent="0.35">
      <c r="W337" s="371"/>
      <c r="X337" s="371"/>
      <c r="Y337" s="371"/>
      <c r="Z337" s="372"/>
      <c r="AA337" s="372"/>
      <c r="AB337" s="372"/>
      <c r="AC337" s="372"/>
      <c r="AD337" s="372"/>
      <c r="AE337" s="372"/>
      <c r="AF337" s="372"/>
      <c r="AG337" s="372"/>
      <c r="AH337" s="372"/>
      <c r="AI337" s="372"/>
      <c r="AJ337" s="372"/>
      <c r="AK337" s="372"/>
      <c r="AL337" s="372"/>
      <c r="AM337" s="372"/>
    </row>
    <row r="338" spans="23:39" x14ac:dyDescent="0.35">
      <c r="W338" s="371"/>
      <c r="X338" s="371"/>
      <c r="Y338" s="371"/>
      <c r="Z338" s="372"/>
      <c r="AA338" s="372"/>
      <c r="AB338" s="372"/>
      <c r="AC338" s="372"/>
      <c r="AD338" s="372"/>
      <c r="AE338" s="372"/>
      <c r="AF338" s="372"/>
      <c r="AG338" s="372"/>
      <c r="AH338" s="372"/>
      <c r="AI338" s="372"/>
      <c r="AJ338" s="372"/>
      <c r="AK338" s="372"/>
      <c r="AL338" s="372"/>
      <c r="AM338" s="372"/>
    </row>
    <row r="339" spans="23:39" x14ac:dyDescent="0.35">
      <c r="W339" s="371"/>
      <c r="X339" s="371"/>
      <c r="Y339" s="371"/>
      <c r="Z339" s="372"/>
      <c r="AA339" s="372"/>
      <c r="AB339" s="372"/>
      <c r="AC339" s="372"/>
      <c r="AD339" s="372"/>
      <c r="AE339" s="372"/>
      <c r="AF339" s="372"/>
      <c r="AG339" s="372"/>
      <c r="AH339" s="372"/>
      <c r="AI339" s="372"/>
      <c r="AJ339" s="372"/>
      <c r="AK339" s="372"/>
      <c r="AL339" s="372"/>
      <c r="AM339" s="372"/>
    </row>
    <row r="340" spans="23:39" x14ac:dyDescent="0.35">
      <c r="W340" s="371"/>
      <c r="X340" s="371"/>
      <c r="Y340" s="371"/>
      <c r="Z340" s="372"/>
      <c r="AA340" s="372"/>
      <c r="AB340" s="372"/>
      <c r="AC340" s="372"/>
      <c r="AD340" s="372"/>
      <c r="AE340" s="372"/>
      <c r="AF340" s="372"/>
      <c r="AG340" s="372"/>
      <c r="AH340" s="372"/>
      <c r="AI340" s="372"/>
      <c r="AJ340" s="372"/>
      <c r="AK340" s="372"/>
      <c r="AL340" s="372"/>
      <c r="AM340" s="372"/>
    </row>
    <row r="341" spans="23:39" x14ac:dyDescent="0.35">
      <c r="W341" s="371"/>
      <c r="X341" s="371"/>
      <c r="Y341" s="371"/>
      <c r="Z341" s="372"/>
      <c r="AA341" s="372"/>
      <c r="AB341" s="372"/>
      <c r="AC341" s="372"/>
      <c r="AD341" s="372"/>
      <c r="AE341" s="372"/>
      <c r="AF341" s="372"/>
      <c r="AG341" s="372"/>
      <c r="AH341" s="372"/>
      <c r="AI341" s="372"/>
      <c r="AJ341" s="372"/>
      <c r="AK341" s="372"/>
      <c r="AL341" s="372"/>
      <c r="AM341" s="372"/>
    </row>
    <row r="342" spans="23:39" x14ac:dyDescent="0.35">
      <c r="W342" s="371"/>
      <c r="X342" s="371"/>
      <c r="Y342" s="371"/>
      <c r="Z342" s="372"/>
      <c r="AA342" s="372"/>
      <c r="AB342" s="372"/>
      <c r="AC342" s="372"/>
      <c r="AD342" s="372"/>
      <c r="AE342" s="372"/>
      <c r="AF342" s="372"/>
      <c r="AG342" s="372"/>
      <c r="AH342" s="372"/>
      <c r="AI342" s="372"/>
      <c r="AJ342" s="372"/>
      <c r="AK342" s="372"/>
      <c r="AL342" s="372"/>
      <c r="AM342" s="372"/>
    </row>
    <row r="343" spans="23:39" x14ac:dyDescent="0.35">
      <c r="W343" s="371"/>
      <c r="X343" s="371"/>
      <c r="Y343" s="371"/>
      <c r="Z343" s="372"/>
      <c r="AA343" s="372"/>
      <c r="AB343" s="372"/>
      <c r="AC343" s="372"/>
      <c r="AD343" s="372"/>
      <c r="AE343" s="372"/>
      <c r="AF343" s="372"/>
      <c r="AG343" s="372"/>
      <c r="AH343" s="372"/>
      <c r="AI343" s="372"/>
      <c r="AJ343" s="372"/>
      <c r="AK343" s="372"/>
      <c r="AL343" s="372"/>
      <c r="AM343" s="372"/>
    </row>
    <row r="344" spans="23:39" x14ac:dyDescent="0.35">
      <c r="W344" s="371"/>
      <c r="X344" s="371"/>
      <c r="Y344" s="371"/>
      <c r="Z344" s="372"/>
      <c r="AA344" s="372"/>
      <c r="AB344" s="372"/>
      <c r="AC344" s="372"/>
      <c r="AD344" s="372"/>
      <c r="AE344" s="372"/>
      <c r="AF344" s="372"/>
      <c r="AG344" s="372"/>
      <c r="AH344" s="372"/>
      <c r="AI344" s="372"/>
      <c r="AJ344" s="372"/>
      <c r="AK344" s="372"/>
      <c r="AL344" s="372"/>
      <c r="AM344" s="372"/>
    </row>
    <row r="345" spans="23:39" x14ac:dyDescent="0.35">
      <c r="W345" s="371"/>
      <c r="X345" s="371"/>
      <c r="Y345" s="371"/>
      <c r="Z345" s="372"/>
      <c r="AA345" s="372"/>
      <c r="AB345" s="372"/>
      <c r="AC345" s="372"/>
      <c r="AD345" s="372"/>
      <c r="AE345" s="372"/>
      <c r="AF345" s="372"/>
      <c r="AG345" s="372"/>
      <c r="AH345" s="372"/>
      <c r="AI345" s="372"/>
      <c r="AJ345" s="372"/>
      <c r="AK345" s="372"/>
      <c r="AL345" s="372"/>
      <c r="AM345" s="372"/>
    </row>
    <row r="346" spans="23:39" x14ac:dyDescent="0.35">
      <c r="W346" s="371"/>
      <c r="X346" s="371"/>
      <c r="Y346" s="371"/>
      <c r="Z346" s="372"/>
      <c r="AA346" s="372"/>
      <c r="AB346" s="372"/>
      <c r="AC346" s="372"/>
      <c r="AD346" s="372"/>
      <c r="AE346" s="372"/>
      <c r="AF346" s="372"/>
      <c r="AG346" s="372"/>
      <c r="AH346" s="372"/>
      <c r="AI346" s="372"/>
      <c r="AJ346" s="372"/>
      <c r="AK346" s="372"/>
      <c r="AL346" s="372"/>
      <c r="AM346" s="372"/>
    </row>
    <row r="347" spans="23:39" x14ac:dyDescent="0.35">
      <c r="W347" s="371"/>
      <c r="X347" s="371"/>
      <c r="Y347" s="371"/>
      <c r="Z347" s="372"/>
      <c r="AA347" s="372"/>
      <c r="AB347" s="372"/>
      <c r="AC347" s="372"/>
      <c r="AD347" s="372"/>
      <c r="AE347" s="372"/>
      <c r="AF347" s="372"/>
      <c r="AG347" s="372"/>
      <c r="AH347" s="372"/>
      <c r="AI347" s="372"/>
      <c r="AJ347" s="372"/>
      <c r="AK347" s="372"/>
      <c r="AL347" s="372"/>
      <c r="AM347" s="372"/>
    </row>
    <row r="348" spans="23:39" x14ac:dyDescent="0.35">
      <c r="W348" s="371"/>
      <c r="X348" s="371"/>
      <c r="Y348" s="371"/>
      <c r="Z348" s="372"/>
      <c r="AA348" s="372"/>
      <c r="AB348" s="372"/>
      <c r="AC348" s="372"/>
      <c r="AD348" s="372"/>
      <c r="AE348" s="372"/>
      <c r="AF348" s="372"/>
      <c r="AG348" s="372"/>
      <c r="AH348" s="372"/>
      <c r="AI348" s="372"/>
      <c r="AJ348" s="372"/>
      <c r="AK348" s="372"/>
      <c r="AL348" s="372"/>
      <c r="AM348" s="372"/>
    </row>
    <row r="349" spans="23:39" x14ac:dyDescent="0.35">
      <c r="W349" s="371"/>
      <c r="X349" s="371"/>
      <c r="Y349" s="371"/>
      <c r="Z349" s="372"/>
      <c r="AA349" s="372"/>
      <c r="AB349" s="372"/>
      <c r="AC349" s="372"/>
      <c r="AD349" s="372"/>
      <c r="AE349" s="372"/>
      <c r="AF349" s="372"/>
      <c r="AG349" s="372"/>
      <c r="AH349" s="372"/>
      <c r="AI349" s="372"/>
      <c r="AJ349" s="372"/>
      <c r="AK349" s="372"/>
      <c r="AL349" s="372"/>
      <c r="AM349" s="372"/>
    </row>
    <row r="350" spans="23:39" x14ac:dyDescent="0.35">
      <c r="W350" s="371"/>
      <c r="X350" s="371"/>
      <c r="Y350" s="371"/>
      <c r="Z350" s="372"/>
      <c r="AA350" s="372"/>
      <c r="AB350" s="372"/>
      <c r="AC350" s="372"/>
      <c r="AD350" s="372"/>
      <c r="AE350" s="372"/>
      <c r="AF350" s="372"/>
      <c r="AG350" s="372"/>
      <c r="AH350" s="372"/>
      <c r="AI350" s="372"/>
      <c r="AJ350" s="372"/>
      <c r="AK350" s="372"/>
      <c r="AL350" s="372"/>
      <c r="AM350" s="372"/>
    </row>
    <row r="351" spans="23:39" x14ac:dyDescent="0.35">
      <c r="W351" s="371"/>
      <c r="X351" s="371"/>
      <c r="Y351" s="371"/>
      <c r="Z351" s="372"/>
      <c r="AA351" s="372"/>
      <c r="AB351" s="372"/>
      <c r="AC351" s="372"/>
      <c r="AD351" s="372"/>
      <c r="AE351" s="372"/>
      <c r="AF351" s="372"/>
      <c r="AG351" s="372"/>
      <c r="AH351" s="372"/>
      <c r="AI351" s="372"/>
      <c r="AJ351" s="372"/>
      <c r="AK351" s="372"/>
      <c r="AL351" s="372"/>
      <c r="AM351" s="372"/>
    </row>
    <row r="352" spans="23:39" x14ac:dyDescent="0.35">
      <c r="W352" s="371"/>
      <c r="X352" s="371"/>
      <c r="Y352" s="371"/>
      <c r="Z352" s="372"/>
      <c r="AA352" s="372"/>
      <c r="AB352" s="372"/>
      <c r="AC352" s="372"/>
      <c r="AD352" s="372"/>
      <c r="AE352" s="372"/>
      <c r="AF352" s="372"/>
      <c r="AG352" s="372"/>
      <c r="AH352" s="372"/>
      <c r="AI352" s="372"/>
      <c r="AJ352" s="372"/>
      <c r="AK352" s="372"/>
      <c r="AL352" s="372"/>
      <c r="AM352" s="372"/>
    </row>
    <row r="353" spans="23:39" x14ac:dyDescent="0.35">
      <c r="W353" s="371"/>
      <c r="X353" s="371"/>
      <c r="Y353" s="371"/>
      <c r="Z353" s="372"/>
      <c r="AA353" s="372"/>
      <c r="AB353" s="372"/>
      <c r="AC353" s="372"/>
      <c r="AD353" s="372"/>
      <c r="AE353" s="372"/>
      <c r="AF353" s="372"/>
      <c r="AG353" s="372"/>
      <c r="AH353" s="372"/>
      <c r="AI353" s="372"/>
      <c r="AJ353" s="372"/>
      <c r="AK353" s="372"/>
      <c r="AL353" s="372"/>
      <c r="AM353" s="372"/>
    </row>
    <row r="354" spans="23:39" x14ac:dyDescent="0.35">
      <c r="W354" s="371"/>
      <c r="X354" s="371"/>
      <c r="Y354" s="371"/>
      <c r="Z354" s="372"/>
      <c r="AA354" s="372"/>
      <c r="AB354" s="372"/>
      <c r="AC354" s="372"/>
      <c r="AD354" s="372"/>
      <c r="AE354" s="372"/>
      <c r="AF354" s="372"/>
      <c r="AG354" s="372"/>
      <c r="AH354" s="372"/>
      <c r="AI354" s="372"/>
      <c r="AJ354" s="372"/>
      <c r="AK354" s="372"/>
      <c r="AL354" s="372"/>
      <c r="AM354" s="372"/>
    </row>
    <row r="355" spans="23:39" x14ac:dyDescent="0.35">
      <c r="W355" s="371"/>
      <c r="X355" s="371"/>
      <c r="Y355" s="371"/>
      <c r="Z355" s="372"/>
      <c r="AA355" s="372"/>
      <c r="AB355" s="372"/>
      <c r="AC355" s="372"/>
      <c r="AD355" s="372"/>
      <c r="AE355" s="372"/>
      <c r="AF355" s="372"/>
      <c r="AG355" s="372"/>
      <c r="AH355" s="372"/>
      <c r="AI355" s="372"/>
      <c r="AJ355" s="372"/>
      <c r="AK355" s="372"/>
      <c r="AL355" s="372"/>
      <c r="AM355" s="372"/>
    </row>
    <row r="356" spans="23:39" x14ac:dyDescent="0.35">
      <c r="W356" s="371"/>
      <c r="X356" s="371"/>
      <c r="Y356" s="371"/>
      <c r="Z356" s="372"/>
      <c r="AA356" s="372"/>
      <c r="AB356" s="372"/>
      <c r="AC356" s="372"/>
      <c r="AD356" s="372"/>
      <c r="AE356" s="372"/>
      <c r="AF356" s="372"/>
      <c r="AG356" s="372"/>
      <c r="AH356" s="372"/>
      <c r="AI356" s="372"/>
      <c r="AJ356" s="372"/>
      <c r="AK356" s="372"/>
      <c r="AL356" s="372"/>
      <c r="AM356" s="372"/>
    </row>
    <row r="357" spans="23:39" x14ac:dyDescent="0.35">
      <c r="W357" s="371"/>
      <c r="X357" s="371"/>
      <c r="Y357" s="371"/>
      <c r="Z357" s="372"/>
      <c r="AA357" s="372"/>
      <c r="AB357" s="372"/>
      <c r="AC357" s="372"/>
      <c r="AD357" s="372"/>
      <c r="AE357" s="372"/>
      <c r="AF357" s="372"/>
      <c r="AG357" s="372"/>
      <c r="AH357" s="372"/>
      <c r="AI357" s="372"/>
      <c r="AJ357" s="372"/>
      <c r="AK357" s="372"/>
      <c r="AL357" s="372"/>
      <c r="AM357" s="372"/>
    </row>
    <row r="358" spans="23:39" x14ac:dyDescent="0.35">
      <c r="W358" s="371"/>
      <c r="X358" s="371"/>
      <c r="Y358" s="371"/>
      <c r="Z358" s="372"/>
      <c r="AA358" s="372"/>
      <c r="AB358" s="372"/>
      <c r="AC358" s="372"/>
      <c r="AD358" s="372"/>
      <c r="AE358" s="372"/>
      <c r="AF358" s="372"/>
      <c r="AG358" s="372"/>
      <c r="AH358" s="372"/>
      <c r="AI358" s="372"/>
      <c r="AJ358" s="372"/>
      <c r="AK358" s="372"/>
      <c r="AL358" s="372"/>
      <c r="AM358" s="372"/>
    </row>
    <row r="359" spans="23:39" x14ac:dyDescent="0.35">
      <c r="W359" s="371"/>
      <c r="X359" s="371"/>
      <c r="Y359" s="371"/>
      <c r="Z359" s="372"/>
      <c r="AA359" s="372"/>
      <c r="AB359" s="372"/>
      <c r="AC359" s="372"/>
      <c r="AD359" s="372"/>
      <c r="AE359" s="372"/>
      <c r="AF359" s="372"/>
      <c r="AG359" s="372"/>
      <c r="AH359" s="372"/>
      <c r="AI359" s="372"/>
      <c r="AJ359" s="372"/>
      <c r="AK359" s="372"/>
      <c r="AL359" s="372"/>
      <c r="AM359" s="372"/>
    </row>
    <row r="360" spans="23:39" x14ac:dyDescent="0.35">
      <c r="W360" s="371"/>
      <c r="X360" s="371"/>
      <c r="Y360" s="371"/>
      <c r="Z360" s="372"/>
      <c r="AA360" s="372"/>
      <c r="AB360" s="372"/>
      <c r="AC360" s="372"/>
      <c r="AD360" s="372"/>
      <c r="AE360" s="372"/>
      <c r="AF360" s="372"/>
      <c r="AG360" s="372"/>
      <c r="AH360" s="372"/>
      <c r="AI360" s="372"/>
      <c r="AJ360" s="372"/>
      <c r="AK360" s="372"/>
      <c r="AL360" s="372"/>
      <c r="AM360" s="372"/>
    </row>
    <row r="361" spans="23:39" x14ac:dyDescent="0.35">
      <c r="W361" s="371"/>
      <c r="X361" s="371"/>
      <c r="Y361" s="371"/>
      <c r="Z361" s="372"/>
      <c r="AA361" s="372"/>
      <c r="AB361" s="372"/>
      <c r="AC361" s="372"/>
      <c r="AD361" s="372"/>
      <c r="AE361" s="372"/>
      <c r="AF361" s="372"/>
      <c r="AG361" s="372"/>
      <c r="AH361" s="372"/>
      <c r="AI361" s="372"/>
      <c r="AJ361" s="372"/>
      <c r="AK361" s="372"/>
      <c r="AL361" s="372"/>
      <c r="AM361" s="372"/>
    </row>
    <row r="362" spans="23:39" x14ac:dyDescent="0.35">
      <c r="W362" s="371"/>
      <c r="X362" s="371"/>
      <c r="Y362" s="371"/>
      <c r="Z362" s="372"/>
      <c r="AA362" s="372"/>
      <c r="AB362" s="372"/>
      <c r="AC362" s="372"/>
      <c r="AD362" s="372"/>
      <c r="AE362" s="372"/>
      <c r="AF362" s="372"/>
      <c r="AG362" s="372"/>
      <c r="AH362" s="372"/>
      <c r="AI362" s="372"/>
      <c r="AJ362" s="372"/>
      <c r="AK362" s="372"/>
      <c r="AL362" s="372"/>
      <c r="AM362" s="372"/>
    </row>
    <row r="363" spans="23:39" x14ac:dyDescent="0.35">
      <c r="W363" s="371"/>
      <c r="X363" s="371"/>
      <c r="Y363" s="371"/>
      <c r="Z363" s="372"/>
      <c r="AA363" s="372"/>
      <c r="AB363" s="372"/>
      <c r="AC363" s="372"/>
      <c r="AD363" s="372"/>
      <c r="AE363" s="372"/>
      <c r="AF363" s="372"/>
      <c r="AG363" s="372"/>
      <c r="AH363" s="372"/>
      <c r="AI363" s="372"/>
      <c r="AJ363" s="372"/>
      <c r="AK363" s="372"/>
      <c r="AL363" s="372"/>
      <c r="AM363" s="372"/>
    </row>
    <row r="364" spans="23:39" x14ac:dyDescent="0.35">
      <c r="W364" s="371"/>
      <c r="X364" s="371"/>
      <c r="Y364" s="371"/>
      <c r="Z364" s="372"/>
      <c r="AA364" s="372"/>
      <c r="AB364" s="372"/>
      <c r="AC364" s="372"/>
      <c r="AD364" s="372"/>
      <c r="AE364" s="372"/>
      <c r="AF364" s="372"/>
      <c r="AG364" s="372"/>
      <c r="AH364" s="372"/>
      <c r="AI364" s="372"/>
      <c r="AJ364" s="372"/>
      <c r="AK364" s="372"/>
      <c r="AL364" s="372"/>
      <c r="AM364" s="372"/>
    </row>
    <row r="365" spans="23:39" x14ac:dyDescent="0.35">
      <c r="W365" s="371"/>
      <c r="X365" s="371"/>
      <c r="Y365" s="371"/>
      <c r="Z365" s="372"/>
      <c r="AA365" s="372"/>
      <c r="AB365" s="372"/>
      <c r="AC365" s="372"/>
      <c r="AD365" s="372"/>
      <c r="AE365" s="372"/>
      <c r="AF365" s="372"/>
      <c r="AG365" s="372"/>
      <c r="AH365" s="372"/>
      <c r="AI365" s="372"/>
      <c r="AJ365" s="372"/>
      <c r="AK365" s="372"/>
      <c r="AL365" s="372"/>
      <c r="AM365" s="372"/>
    </row>
    <row r="366" spans="23:39" x14ac:dyDescent="0.35">
      <c r="W366" s="371"/>
      <c r="X366" s="371"/>
      <c r="Y366" s="371"/>
      <c r="Z366" s="372"/>
      <c r="AA366" s="372"/>
      <c r="AB366" s="372"/>
      <c r="AC366" s="372"/>
      <c r="AD366" s="372"/>
      <c r="AE366" s="372"/>
      <c r="AF366" s="372"/>
      <c r="AG366" s="372"/>
      <c r="AH366" s="372"/>
      <c r="AI366" s="372"/>
      <c r="AJ366" s="372"/>
      <c r="AK366" s="372"/>
      <c r="AL366" s="372"/>
      <c r="AM366" s="372"/>
    </row>
    <row r="367" spans="23:39" x14ac:dyDescent="0.35">
      <c r="W367" s="371"/>
      <c r="X367" s="371"/>
      <c r="Y367" s="371"/>
      <c r="Z367" s="372"/>
      <c r="AA367" s="372"/>
      <c r="AB367" s="372"/>
      <c r="AC367" s="372"/>
      <c r="AD367" s="372"/>
      <c r="AE367" s="372"/>
      <c r="AF367" s="372"/>
      <c r="AG367" s="372"/>
      <c r="AH367" s="372"/>
      <c r="AI367" s="372"/>
      <c r="AJ367" s="372"/>
      <c r="AK367" s="372"/>
      <c r="AL367" s="372"/>
      <c r="AM367" s="372"/>
    </row>
    <row r="368" spans="23:39" x14ac:dyDescent="0.35">
      <c r="W368" s="371"/>
      <c r="X368" s="371"/>
      <c r="Y368" s="371"/>
      <c r="Z368" s="372"/>
      <c r="AA368" s="372"/>
      <c r="AB368" s="372"/>
      <c r="AC368" s="372"/>
      <c r="AD368" s="372"/>
      <c r="AE368" s="372"/>
      <c r="AF368" s="372"/>
      <c r="AG368" s="372"/>
      <c r="AH368" s="372"/>
      <c r="AI368" s="372"/>
      <c r="AJ368" s="372"/>
      <c r="AK368" s="372"/>
      <c r="AL368" s="372"/>
      <c r="AM368" s="372"/>
    </row>
    <row r="369" spans="23:39" x14ac:dyDescent="0.35">
      <c r="W369" s="371"/>
      <c r="X369" s="371"/>
      <c r="Y369" s="371"/>
      <c r="Z369" s="372"/>
      <c r="AA369" s="372"/>
      <c r="AB369" s="372"/>
      <c r="AC369" s="372"/>
      <c r="AD369" s="372"/>
      <c r="AE369" s="372"/>
      <c r="AF369" s="372"/>
      <c r="AG369" s="372"/>
      <c r="AH369" s="372"/>
      <c r="AI369" s="372"/>
      <c r="AJ369" s="372"/>
      <c r="AK369" s="372"/>
      <c r="AL369" s="372"/>
      <c r="AM369" s="372"/>
    </row>
    <row r="370" spans="23:39" x14ac:dyDescent="0.35">
      <c r="W370" s="371"/>
      <c r="X370" s="371"/>
      <c r="Y370" s="371"/>
      <c r="Z370" s="372"/>
      <c r="AA370" s="372"/>
      <c r="AB370" s="372"/>
      <c r="AC370" s="372"/>
      <c r="AD370" s="372"/>
      <c r="AE370" s="372"/>
      <c r="AF370" s="372"/>
      <c r="AG370" s="372"/>
      <c r="AH370" s="372"/>
      <c r="AI370" s="372"/>
      <c r="AJ370" s="372"/>
      <c r="AK370" s="372"/>
      <c r="AL370" s="372"/>
      <c r="AM370" s="372"/>
    </row>
    <row r="371" spans="23:39" x14ac:dyDescent="0.35">
      <c r="W371" s="371"/>
      <c r="X371" s="371"/>
      <c r="Y371" s="371"/>
      <c r="Z371" s="372"/>
      <c r="AA371" s="372"/>
      <c r="AB371" s="372"/>
      <c r="AC371" s="372"/>
      <c r="AD371" s="372"/>
      <c r="AE371" s="372"/>
      <c r="AF371" s="372"/>
      <c r="AG371" s="372"/>
      <c r="AH371" s="372"/>
      <c r="AI371" s="372"/>
      <c r="AJ371" s="372"/>
      <c r="AK371" s="372"/>
      <c r="AL371" s="372"/>
      <c r="AM371" s="372"/>
    </row>
    <row r="372" spans="23:39" x14ac:dyDescent="0.35">
      <c r="W372" s="371"/>
      <c r="X372" s="371"/>
      <c r="Y372" s="371"/>
      <c r="Z372" s="372"/>
      <c r="AA372" s="372"/>
      <c r="AB372" s="372"/>
      <c r="AC372" s="372"/>
      <c r="AD372" s="372"/>
      <c r="AE372" s="372"/>
      <c r="AF372" s="372"/>
      <c r="AG372" s="372"/>
      <c r="AH372" s="372"/>
      <c r="AI372" s="372"/>
      <c r="AJ372" s="372"/>
      <c r="AK372" s="372"/>
      <c r="AL372" s="372"/>
      <c r="AM372" s="372"/>
    </row>
    <row r="373" spans="23:39" x14ac:dyDescent="0.35">
      <c r="W373" s="371"/>
      <c r="X373" s="371"/>
      <c r="Y373" s="371"/>
      <c r="Z373" s="372"/>
      <c r="AA373" s="372"/>
      <c r="AB373" s="372"/>
      <c r="AC373" s="372"/>
      <c r="AD373" s="372"/>
      <c r="AE373" s="372"/>
      <c r="AF373" s="372"/>
      <c r="AG373" s="372"/>
      <c r="AH373" s="372"/>
      <c r="AI373" s="372"/>
      <c r="AJ373" s="372"/>
      <c r="AK373" s="372"/>
      <c r="AL373" s="372"/>
      <c r="AM373" s="372"/>
    </row>
    <row r="374" spans="23:39" x14ac:dyDescent="0.35">
      <c r="W374" s="371"/>
      <c r="X374" s="371"/>
      <c r="Y374" s="371"/>
      <c r="Z374" s="372"/>
      <c r="AA374" s="372"/>
      <c r="AB374" s="372"/>
      <c r="AC374" s="372"/>
      <c r="AD374" s="372"/>
      <c r="AE374" s="372"/>
      <c r="AF374" s="372"/>
      <c r="AG374" s="372"/>
      <c r="AH374" s="372"/>
      <c r="AI374" s="372"/>
      <c r="AJ374" s="372"/>
      <c r="AK374" s="372"/>
      <c r="AL374" s="372"/>
      <c r="AM374" s="372"/>
    </row>
  </sheetData>
  <sheetProtection algorithmName="SHA-512" hashValue="D1QUU3f6B4Kf3bhRRsVJ76J72KHikvyfmCfDRY/EEWWwdVovTcpLsMmSi7mdVs3xTDxskvFwXrERAD3YRKU8hQ==" saltValue="mxuau46+oSxRooy7FHhefw==" spinCount="100000" sheet="1" objects="1" scenarios="1" formatColumns="0" formatRows="0" insertRows="0" deleteRows="0" selectLockedCells="1"/>
  <mergeCells count="1">
    <mergeCell ref="O9:P9"/>
  </mergeCells>
  <phoneticPr fontId="66" type="noConversion"/>
  <conditionalFormatting sqref="AK32:AM32 AA32:AD32 AF12:AI16 AF31:AI32">
    <cfRule type="containsText" dxfId="121" priority="57" operator="containsText" text="Y">
      <formula>NOT(ISERROR(SEARCH("Y",AA12)))</formula>
    </cfRule>
  </conditionalFormatting>
  <conditionalFormatting sqref="AA31:AD31 AK31:AM31">
    <cfRule type="containsText" dxfId="120" priority="55" operator="containsText" text="Y">
      <formula>NOT(ISERROR(SEARCH("Y",AA31)))</formula>
    </cfRule>
  </conditionalFormatting>
  <conditionalFormatting sqref="V31">
    <cfRule type="containsText" dxfId="119" priority="54" operator="containsText" text="Y">
      <formula>NOT(ISERROR(SEARCH("Y",V31)))</formula>
    </cfRule>
  </conditionalFormatting>
  <conditionalFormatting sqref="AA12:AD12 AK12:AM12">
    <cfRule type="containsText" dxfId="118" priority="44" operator="containsText" text="Y">
      <formula>NOT(ISERROR(SEARCH("Y",AA12)))</formula>
    </cfRule>
  </conditionalFormatting>
  <conditionalFormatting sqref="AA13:AD16">
    <cfRule type="containsText" dxfId="117" priority="41" operator="containsText" text="Y">
      <formula>NOT(ISERROR(SEARCH("Y",AA13)))</formula>
    </cfRule>
  </conditionalFormatting>
  <conditionalFormatting sqref="AK13:AM16">
    <cfRule type="containsText" dxfId="116" priority="21" operator="containsText" text="Y">
      <formula>NOT(ISERROR(SEARCH("Y",AK13)))</formula>
    </cfRule>
  </conditionalFormatting>
  <conditionalFormatting sqref="AF17:AI20">
    <cfRule type="containsText" dxfId="115" priority="9" operator="containsText" text="Y">
      <formula>NOT(ISERROR(SEARCH("Y",AF17)))</formula>
    </cfRule>
  </conditionalFormatting>
  <conditionalFormatting sqref="AA17:AD20">
    <cfRule type="containsText" dxfId="114" priority="8" operator="containsText" text="Y">
      <formula>NOT(ISERROR(SEARCH("Y",AA17)))</formula>
    </cfRule>
  </conditionalFormatting>
  <conditionalFormatting sqref="AK17:AM20">
    <cfRule type="containsText" dxfId="113" priority="7" operator="containsText" text="Y">
      <formula>NOT(ISERROR(SEARCH("Y",AK17)))</formula>
    </cfRule>
  </conditionalFormatting>
  <conditionalFormatting sqref="AF21:AI24">
    <cfRule type="containsText" dxfId="112" priority="6" operator="containsText" text="Y">
      <formula>NOT(ISERROR(SEARCH("Y",AF21)))</formula>
    </cfRule>
  </conditionalFormatting>
  <conditionalFormatting sqref="AA21:AD24">
    <cfRule type="containsText" dxfId="111" priority="5" operator="containsText" text="Y">
      <formula>NOT(ISERROR(SEARCH("Y",AA21)))</formula>
    </cfRule>
  </conditionalFormatting>
  <conditionalFormatting sqref="AK21:AM24">
    <cfRule type="containsText" dxfId="110" priority="4" operator="containsText" text="Y">
      <formula>NOT(ISERROR(SEARCH("Y",AK21)))</formula>
    </cfRule>
  </conditionalFormatting>
  <conditionalFormatting sqref="AF25:AI30">
    <cfRule type="containsText" dxfId="109" priority="3" operator="containsText" text="Y">
      <formula>NOT(ISERROR(SEARCH("Y",AF25)))</formula>
    </cfRule>
  </conditionalFormatting>
  <conditionalFormatting sqref="AA25:AD30">
    <cfRule type="containsText" dxfId="108" priority="2" operator="containsText" text="Y">
      <formula>NOT(ISERROR(SEARCH("Y",AA25)))</formula>
    </cfRule>
  </conditionalFormatting>
  <conditionalFormatting sqref="AK25:AM30">
    <cfRule type="containsText" dxfId="107" priority="1" operator="containsText" text="Y">
      <formula>NOT(ISERROR(SEARCH("Y",AK25)))</formula>
    </cfRule>
  </conditionalFormatting>
  <dataValidations count="3">
    <dataValidation type="list" allowBlank="1" showInputMessage="1" showErrorMessage="1" sqref="V31" xr:uid="{1EB1DCB9-D047-468A-B5EF-223838314C36}">
      <formula1>$AO$7:$AO$9</formula1>
    </dataValidation>
    <dataValidation type="list" allowBlank="1" showInputMessage="1" showErrorMessage="1" sqref="AF13:AI30 AK13:AM30 AA13:AD30" xr:uid="{609350F4-6691-40C2-8199-C9FE5D7DC2EF}">
      <formula1>"Y, N"</formula1>
    </dataValidation>
    <dataValidation type="list" allowBlank="1" showInputMessage="1" showErrorMessage="1" sqref="C13:C30" xr:uid="{55B648B6-F8DC-4666-A347-341950E661DD}">
      <formula1>"Central, Northern, Southern"</formula1>
    </dataValidation>
  </dataValidations>
  <pageMargins left="0.25" right="0.25" top="0.75" bottom="0.75" header="0.3" footer="0.3"/>
  <pageSetup scale="45" orientation="landscape"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03546-499A-40F2-B9AF-D22EB33ABC23}">
  <sheetPr codeName="Sheet2">
    <tabColor rgb="FF996633"/>
    <pageSetUpPr fitToPage="1"/>
  </sheetPr>
  <dimension ref="B1:Y54"/>
  <sheetViews>
    <sheetView showZeros="0" topLeftCell="A25" zoomScaleNormal="100" workbookViewId="0">
      <selection activeCell="J9" sqref="J9"/>
    </sheetView>
  </sheetViews>
  <sheetFormatPr defaultColWidth="9.1796875" defaultRowHeight="14.5" x14ac:dyDescent="0.35"/>
  <cols>
    <col min="1" max="2" width="3.7265625" style="1" customWidth="1"/>
    <col min="3" max="3" width="36.453125" style="1" customWidth="1"/>
    <col min="4" max="4" width="12.54296875" style="5" bestFit="1" customWidth="1"/>
    <col min="5" max="5" width="8.54296875" style="5" customWidth="1"/>
    <col min="6" max="6" width="7.81640625" style="5" customWidth="1"/>
    <col min="7" max="7" width="10" style="5" customWidth="1"/>
    <col min="8" max="8" width="10.81640625" style="1" customWidth="1"/>
    <col min="9" max="9" width="1.81640625" style="1" customWidth="1"/>
    <col min="10" max="10" width="10.81640625" style="1" customWidth="1"/>
    <col min="11" max="11" width="11.54296875" style="1" customWidth="1"/>
    <col min="12" max="12" width="1.81640625" style="1" customWidth="1"/>
    <col min="13" max="15" width="9.1796875" style="1" customWidth="1"/>
    <col min="16" max="16" width="9.1796875" style="1" hidden="1" customWidth="1"/>
    <col min="17" max="21" width="9.1796875" style="1"/>
    <col min="22" max="22" width="29.453125" style="1" customWidth="1"/>
    <col min="23" max="16384" width="9.1796875" style="1"/>
  </cols>
  <sheetData>
    <row r="1" spans="2:22" ht="15" thickBot="1" x14ac:dyDescent="0.4">
      <c r="B1" s="6"/>
      <c r="C1" s="6"/>
    </row>
    <row r="2" spans="2:22" ht="15" customHeight="1" thickTop="1" x14ac:dyDescent="0.35">
      <c r="D2" s="77"/>
      <c r="E2" s="77"/>
      <c r="F2" s="77"/>
      <c r="G2" s="77"/>
      <c r="H2" s="77"/>
      <c r="I2" s="77"/>
      <c r="J2" s="77"/>
      <c r="K2" s="77"/>
      <c r="L2" s="77"/>
      <c r="M2" s="77"/>
      <c r="N2" s="77"/>
      <c r="O2" s="77"/>
      <c r="P2" s="77"/>
      <c r="Q2" s="77"/>
      <c r="R2" s="77"/>
      <c r="S2" s="77"/>
      <c r="T2" s="77"/>
      <c r="U2" s="77"/>
      <c r="V2" s="77"/>
    </row>
    <row r="3" spans="2:22" ht="20.149999999999999" customHeight="1" x14ac:dyDescent="0.35">
      <c r="D3" s="76"/>
      <c r="E3" s="76"/>
      <c r="F3" s="76" t="s">
        <v>273</v>
      </c>
      <c r="G3" s="76"/>
      <c r="I3" s="76"/>
      <c r="J3" s="76"/>
      <c r="K3" s="76"/>
      <c r="L3" s="76"/>
      <c r="M3" s="76"/>
      <c r="N3" s="76"/>
      <c r="O3" s="76"/>
      <c r="P3" s="76"/>
      <c r="Q3" s="76"/>
      <c r="R3" s="76"/>
      <c r="S3" s="76"/>
      <c r="T3" s="76"/>
      <c r="U3" s="76"/>
      <c r="V3" s="76"/>
    </row>
    <row r="4" spans="2:22" ht="20.149999999999999" customHeight="1" x14ac:dyDescent="0.35">
      <c r="D4" s="76"/>
      <c r="E4" s="76"/>
      <c r="F4" s="76"/>
      <c r="G4" s="76"/>
      <c r="H4" s="76" t="s">
        <v>274</v>
      </c>
      <c r="I4" s="76"/>
      <c r="J4" s="76"/>
      <c r="K4" s="76"/>
      <c r="L4" s="76"/>
      <c r="M4" s="76"/>
      <c r="N4" s="76"/>
      <c r="O4" s="76"/>
      <c r="P4" s="76"/>
      <c r="Q4" s="76"/>
      <c r="R4" s="76"/>
      <c r="S4" s="76"/>
      <c r="T4" s="76"/>
      <c r="U4" s="76"/>
      <c r="V4" s="76"/>
    </row>
    <row r="5" spans="2:22" ht="15" customHeight="1" thickBot="1" x14ac:dyDescent="0.4">
      <c r="B5" s="6"/>
      <c r="C5" s="6"/>
      <c r="D5" s="78"/>
      <c r="E5" s="78"/>
      <c r="F5" s="78"/>
      <c r="G5" s="78"/>
      <c r="H5" s="78"/>
      <c r="I5" s="78"/>
      <c r="J5" s="78"/>
      <c r="K5" s="78"/>
      <c r="L5" s="78"/>
      <c r="M5" s="78"/>
      <c r="N5" s="78"/>
      <c r="O5" s="78"/>
      <c r="P5" s="78"/>
      <c r="Q5" s="78"/>
      <c r="R5" s="78"/>
      <c r="S5" s="78"/>
      <c r="T5" s="78"/>
      <c r="U5" s="78"/>
      <c r="V5" s="78"/>
    </row>
    <row r="6" spans="2:22" ht="17.5" thickTop="1" x14ac:dyDescent="0.35">
      <c r="D6" s="7"/>
      <c r="E6" s="7"/>
      <c r="F6" s="7"/>
      <c r="G6" s="7"/>
      <c r="H6" s="7"/>
      <c r="I6" s="7"/>
      <c r="J6" s="7"/>
      <c r="K6" s="7"/>
      <c r="L6" s="7"/>
    </row>
    <row r="7" spans="2:22" x14ac:dyDescent="0.35">
      <c r="B7" s="88" t="s">
        <v>158</v>
      </c>
      <c r="C7" s="88"/>
      <c r="D7" s="83" t="s">
        <v>281</v>
      </c>
      <c r="E7" s="83"/>
      <c r="F7" s="83"/>
      <c r="G7" s="83"/>
      <c r="H7" s="83"/>
      <c r="I7" s="83"/>
      <c r="J7" s="83"/>
      <c r="K7" s="83"/>
      <c r="L7" s="83"/>
      <c r="M7" s="83"/>
      <c r="N7" s="83"/>
      <c r="O7" s="83"/>
      <c r="P7" s="83"/>
      <c r="Q7" s="83"/>
      <c r="R7" s="83"/>
      <c r="S7" s="83"/>
      <c r="T7" s="83"/>
      <c r="U7" s="83"/>
      <c r="V7" s="83"/>
    </row>
    <row r="8" spans="2:22" s="130" customFormat="1" x14ac:dyDescent="0.35">
      <c r="B8" s="88" t="s">
        <v>80</v>
      </c>
      <c r="C8" s="88"/>
      <c r="D8" s="83" t="s">
        <v>282</v>
      </c>
      <c r="E8" s="83"/>
      <c r="F8" s="83"/>
      <c r="G8" s="83"/>
      <c r="H8" s="83"/>
      <c r="I8" s="83"/>
      <c r="J8" s="83"/>
      <c r="K8" s="83"/>
      <c r="L8" s="83"/>
      <c r="M8" s="83"/>
      <c r="N8" s="83"/>
      <c r="O8" s="83"/>
      <c r="P8" s="83"/>
      <c r="Q8" s="83"/>
      <c r="R8" s="83"/>
      <c r="S8" s="83"/>
      <c r="T8" s="83"/>
      <c r="U8" s="83"/>
      <c r="V8" s="83"/>
    </row>
    <row r="9" spans="2:22" x14ac:dyDescent="0.35">
      <c r="B9" s="88" t="s">
        <v>81</v>
      </c>
      <c r="C9" s="88"/>
      <c r="D9" s="83" t="s">
        <v>82</v>
      </c>
      <c r="E9" s="83"/>
      <c r="F9" s="83"/>
      <c r="G9" s="83"/>
      <c r="H9" s="83"/>
      <c r="I9" s="83"/>
      <c r="J9" s="83"/>
      <c r="K9" s="83"/>
      <c r="L9" s="83"/>
      <c r="M9" s="83"/>
      <c r="N9" s="83"/>
      <c r="O9" s="83"/>
      <c r="P9" s="83"/>
      <c r="Q9" s="83"/>
      <c r="R9" s="83"/>
      <c r="S9" s="83"/>
      <c r="T9" s="83"/>
      <c r="U9" s="83"/>
      <c r="V9" s="83"/>
    </row>
    <row r="10" spans="2:22" x14ac:dyDescent="0.35">
      <c r="B10" s="88" t="s">
        <v>83</v>
      </c>
      <c r="C10" s="88"/>
      <c r="D10" s="83" t="s">
        <v>84</v>
      </c>
      <c r="E10" s="83"/>
      <c r="F10" s="83"/>
      <c r="G10" s="83"/>
      <c r="H10" s="83"/>
      <c r="I10" s="83"/>
      <c r="J10" s="83"/>
      <c r="K10" s="83"/>
      <c r="L10" s="83"/>
      <c r="M10" s="83"/>
      <c r="N10" s="83"/>
      <c r="O10" s="83"/>
      <c r="P10" s="83"/>
      <c r="Q10" s="83"/>
      <c r="R10" s="83"/>
      <c r="S10" s="83"/>
      <c r="T10" s="83"/>
      <c r="U10" s="83"/>
      <c r="V10" s="83"/>
    </row>
    <row r="11" spans="2:22" x14ac:dyDescent="0.35">
      <c r="B11" s="88" t="s">
        <v>85</v>
      </c>
      <c r="C11" s="88"/>
      <c r="D11" s="83" t="s">
        <v>5</v>
      </c>
      <c r="E11" s="83"/>
      <c r="F11" s="83"/>
      <c r="G11" s="83"/>
      <c r="H11" s="83"/>
      <c r="I11" s="83"/>
      <c r="J11" s="83"/>
      <c r="K11" s="83"/>
      <c r="L11" s="83"/>
      <c r="M11" s="83"/>
      <c r="N11" s="83"/>
      <c r="O11" s="83"/>
      <c r="P11" s="83"/>
      <c r="Q11" s="83"/>
      <c r="R11" s="83"/>
      <c r="S11" s="83"/>
      <c r="T11" s="83"/>
      <c r="U11" s="83"/>
      <c r="V11" s="83"/>
    </row>
    <row r="12" spans="2:22" x14ac:dyDescent="0.35">
      <c r="D12" s="10"/>
      <c r="E12" s="10"/>
      <c r="F12" s="10"/>
      <c r="G12" s="10"/>
    </row>
    <row r="13" spans="2:22" ht="29" x14ac:dyDescent="0.35">
      <c r="B13" s="88" t="s">
        <v>86</v>
      </c>
      <c r="C13" s="88"/>
      <c r="D13" s="89" t="s">
        <v>87</v>
      </c>
      <c r="E13" s="89" t="s">
        <v>88</v>
      </c>
      <c r="F13" s="89" t="s">
        <v>89</v>
      </c>
      <c r="G13" s="89" t="s">
        <v>90</v>
      </c>
      <c r="H13" s="89" t="s">
        <v>91</v>
      </c>
      <c r="I13" s="90" t="s">
        <v>92</v>
      </c>
      <c r="J13" s="89"/>
      <c r="K13" s="89"/>
      <c r="L13" s="91"/>
      <c r="M13" s="91"/>
      <c r="N13" s="91"/>
      <c r="O13" s="91"/>
      <c r="P13" s="91"/>
      <c r="Q13" s="91"/>
      <c r="R13" s="91"/>
      <c r="S13" s="91"/>
      <c r="T13" s="91"/>
      <c r="U13" s="91"/>
      <c r="V13" s="91"/>
    </row>
    <row r="14" spans="2:22" x14ac:dyDescent="0.35">
      <c r="B14" s="88" t="s">
        <v>93</v>
      </c>
      <c r="C14" s="88"/>
      <c r="D14" s="11"/>
      <c r="E14" s="11"/>
      <c r="F14" s="11"/>
      <c r="G14" s="11"/>
      <c r="H14" s="11"/>
      <c r="I14" s="12"/>
      <c r="J14" s="11"/>
      <c r="K14" s="11"/>
    </row>
    <row r="15" spans="2:22" x14ac:dyDescent="0.35">
      <c r="B15" s="88"/>
      <c r="C15" s="88" t="s">
        <v>94</v>
      </c>
      <c r="D15" s="13">
        <f>IFERROR((E15*G15),"")</f>
        <v>186722.89123362611</v>
      </c>
      <c r="E15" s="84">
        <v>1</v>
      </c>
      <c r="F15" s="5" t="s">
        <v>95</v>
      </c>
      <c r="G15" s="5">
        <v>186722.89123362611</v>
      </c>
      <c r="H15" s="14">
        <f t="shared" ref="H15:H25" si="0">IFERROR((D15/$D$44),"")</f>
        <v>0.17627720917024142</v>
      </c>
      <c r="I15" s="15" t="s">
        <v>382</v>
      </c>
      <c r="J15" s="11"/>
      <c r="K15" s="11"/>
    </row>
    <row r="16" spans="2:22" x14ac:dyDescent="0.35">
      <c r="B16" s="88"/>
      <c r="C16" s="88" t="s">
        <v>200</v>
      </c>
      <c r="D16" s="13">
        <f>IFERROR((E16*G16),"")</f>
        <v>127510.45198909142</v>
      </c>
      <c r="E16" s="84">
        <v>1</v>
      </c>
      <c r="F16" s="5" t="s">
        <v>95</v>
      </c>
      <c r="G16" s="5">
        <v>127510.45198909142</v>
      </c>
      <c r="H16" s="14">
        <f t="shared" si="0"/>
        <v>0.12037724174134508</v>
      </c>
      <c r="I16" s="15" t="s">
        <v>382</v>
      </c>
      <c r="J16" s="11"/>
      <c r="K16" s="11"/>
    </row>
    <row r="17" spans="2:11" x14ac:dyDescent="0.35">
      <c r="B17" s="88"/>
      <c r="C17" s="88" t="s">
        <v>97</v>
      </c>
      <c r="D17" s="13">
        <f>IFERROR((E17*G17),"")</f>
        <v>76313.369244777001</v>
      </c>
      <c r="E17" s="84">
        <v>1</v>
      </c>
      <c r="F17" s="5" t="s">
        <v>95</v>
      </c>
      <c r="G17" s="5">
        <v>76313.369244777001</v>
      </c>
      <c r="H17" s="14">
        <f t="shared" si="0"/>
        <v>7.2044234448019606E-2</v>
      </c>
      <c r="I17" s="15" t="s">
        <v>382</v>
      </c>
      <c r="J17" s="11"/>
      <c r="K17" s="11"/>
    </row>
    <row r="18" spans="2:11" x14ac:dyDescent="0.35">
      <c r="B18" s="88"/>
      <c r="C18" s="88" t="s">
        <v>98</v>
      </c>
      <c r="D18" s="13">
        <f>IFERROR((E18*G18),"")</f>
        <v>22960.749035980542</v>
      </c>
      <c r="E18" s="84">
        <v>1</v>
      </c>
      <c r="F18" s="5" t="s">
        <v>95</v>
      </c>
      <c r="G18" s="5">
        <v>22960.749035980542</v>
      </c>
      <c r="H18" s="14">
        <f t="shared" si="0"/>
        <v>2.1676275114318026E-2</v>
      </c>
      <c r="I18" s="15" t="s">
        <v>382</v>
      </c>
      <c r="J18" s="14"/>
      <c r="K18" s="14"/>
    </row>
    <row r="19" spans="2:11" x14ac:dyDescent="0.35">
      <c r="B19" s="88"/>
      <c r="C19" s="88" t="s">
        <v>99</v>
      </c>
      <c r="D19" s="13">
        <f t="shared" ref="D19:D25" si="1">IFERROR((E19*G19),"")</f>
        <v>14382.255700676673</v>
      </c>
      <c r="E19" s="85">
        <v>1</v>
      </c>
      <c r="F19" s="5" t="s">
        <v>95</v>
      </c>
      <c r="G19" s="5">
        <v>14382.255700676673</v>
      </c>
      <c r="H19" s="14">
        <f t="shared" si="0"/>
        <v>1.3577681235215976E-2</v>
      </c>
      <c r="I19" s="15" t="s">
        <v>194</v>
      </c>
      <c r="J19" s="14"/>
      <c r="K19" s="14"/>
    </row>
    <row r="20" spans="2:11" x14ac:dyDescent="0.35">
      <c r="B20" s="88"/>
      <c r="C20" s="88" t="s">
        <v>100</v>
      </c>
      <c r="D20" s="5">
        <f>IFERROR((E20*G20),"")</f>
        <v>19276.685684890683</v>
      </c>
      <c r="E20" s="85">
        <v>750</v>
      </c>
      <c r="F20" s="5" t="s">
        <v>101</v>
      </c>
      <c r="G20" s="5">
        <v>25.702247579854244</v>
      </c>
      <c r="H20" s="14">
        <f t="shared" si="0"/>
        <v>1.8198306228735896E-2</v>
      </c>
      <c r="I20" s="15" t="s">
        <v>338</v>
      </c>
      <c r="J20" s="14"/>
      <c r="K20" s="14"/>
    </row>
    <row r="21" spans="2:11" x14ac:dyDescent="0.35">
      <c r="B21" s="88"/>
      <c r="C21" s="88" t="s">
        <v>102</v>
      </c>
      <c r="D21" s="5">
        <f t="shared" si="1"/>
        <v>4691.7905749745041</v>
      </c>
      <c r="E21" s="85">
        <v>500</v>
      </c>
      <c r="F21" s="5" t="s">
        <v>101</v>
      </c>
      <c r="G21" s="5">
        <v>9.3835811499490092</v>
      </c>
      <c r="H21" s="14">
        <f t="shared" si="0"/>
        <v>4.4293216707583152E-3</v>
      </c>
      <c r="I21" s="15" t="s">
        <v>393</v>
      </c>
      <c r="J21" s="14"/>
      <c r="K21" s="14"/>
    </row>
    <row r="22" spans="2:11" x14ac:dyDescent="0.35">
      <c r="B22" s="88"/>
      <c r="C22" s="88" t="s">
        <v>103</v>
      </c>
      <c r="D22" s="5">
        <f t="shared" si="1"/>
        <v>4503.6119201858583</v>
      </c>
      <c r="E22" s="85">
        <v>10</v>
      </c>
      <c r="F22" s="5" t="s">
        <v>104</v>
      </c>
      <c r="G22" s="5">
        <v>450.36119201858583</v>
      </c>
      <c r="H22" s="14">
        <f t="shared" si="0"/>
        <v>4.2516701365923797E-3</v>
      </c>
      <c r="I22" s="15" t="s">
        <v>105</v>
      </c>
      <c r="J22" s="14"/>
      <c r="K22" s="14"/>
    </row>
    <row r="23" spans="2:11" x14ac:dyDescent="0.35">
      <c r="B23" s="88"/>
      <c r="C23" s="88" t="s">
        <v>106</v>
      </c>
      <c r="D23" s="5">
        <f t="shared" si="1"/>
        <v>11829.775548668364</v>
      </c>
      <c r="E23" s="85">
        <v>1000</v>
      </c>
      <c r="F23" s="5" t="s">
        <v>107</v>
      </c>
      <c r="G23" s="5">
        <v>11.829775548668364</v>
      </c>
      <c r="H23" s="14">
        <f t="shared" si="0"/>
        <v>1.1167992339088655E-2</v>
      </c>
      <c r="I23" s="15" t="s">
        <v>108</v>
      </c>
      <c r="J23" s="14"/>
      <c r="K23" s="14"/>
    </row>
    <row r="24" spans="2:11" x14ac:dyDescent="0.35">
      <c r="B24" s="88"/>
      <c r="C24" s="88" t="s">
        <v>109</v>
      </c>
      <c r="D24" s="5">
        <f t="shared" si="1"/>
        <v>5148.568283383468</v>
      </c>
      <c r="E24" s="85">
        <v>1</v>
      </c>
      <c r="F24" s="5" t="s">
        <v>95</v>
      </c>
      <c r="G24" s="5">
        <v>5148.568283383468</v>
      </c>
      <c r="H24" s="14">
        <f t="shared" si="0"/>
        <v>4.8605462470142878E-3</v>
      </c>
      <c r="I24" s="15" t="s">
        <v>110</v>
      </c>
      <c r="J24" s="14"/>
      <c r="K24" s="14"/>
    </row>
    <row r="25" spans="2:11" x14ac:dyDescent="0.35">
      <c r="B25" s="88"/>
      <c r="C25" s="88" t="s">
        <v>111</v>
      </c>
      <c r="D25" s="16">
        <f t="shared" si="1"/>
        <v>32613.696076434528</v>
      </c>
      <c r="E25" s="86">
        <v>1000</v>
      </c>
      <c r="F25" s="16" t="s">
        <v>112</v>
      </c>
      <c r="G25" s="16">
        <v>32.613696076434529</v>
      </c>
      <c r="H25" s="18">
        <f t="shared" si="0"/>
        <v>3.0789215436296809E-2</v>
      </c>
      <c r="I25" s="15" t="s">
        <v>113</v>
      </c>
      <c r="J25" s="14"/>
      <c r="K25" s="14"/>
    </row>
    <row r="26" spans="2:11" x14ac:dyDescent="0.35">
      <c r="B26" s="88"/>
      <c r="C26" s="88" t="s">
        <v>114</v>
      </c>
      <c r="D26" s="5">
        <f>SUM(D15:D25)</f>
        <v>505953.8452926891</v>
      </c>
      <c r="G26" s="19"/>
      <c r="H26" s="14">
        <f>SUM(H15:H25)</f>
        <v>0.47764969376762645</v>
      </c>
      <c r="I26" s="15"/>
      <c r="J26" s="14"/>
      <c r="K26" s="14"/>
    </row>
    <row r="27" spans="2:11" x14ac:dyDescent="0.35">
      <c r="B27" s="88"/>
      <c r="C27" s="88"/>
      <c r="G27" s="19"/>
      <c r="H27" s="14"/>
      <c r="I27" s="15"/>
      <c r="J27" s="14"/>
      <c r="K27" s="14"/>
    </row>
    <row r="28" spans="2:11" x14ac:dyDescent="0.35">
      <c r="B28" s="88" t="s">
        <v>115</v>
      </c>
      <c r="C28" s="88"/>
      <c r="G28" s="19"/>
      <c r="H28" s="14"/>
      <c r="I28" s="15"/>
      <c r="J28" s="14"/>
      <c r="K28" s="14"/>
    </row>
    <row r="29" spans="2:11" x14ac:dyDescent="0.35">
      <c r="B29" s="88"/>
      <c r="C29" s="88" t="s">
        <v>94</v>
      </c>
      <c r="D29" s="5">
        <f t="shared" ref="D29:D36" si="2">IFERROR((E29*G29),"")</f>
        <v>137243.44353227338</v>
      </c>
      <c r="E29" s="20">
        <f>IF(E15&lt;=0,"",E15)</f>
        <v>1</v>
      </c>
      <c r="F29" s="5" t="s">
        <v>95</v>
      </c>
      <c r="G29" s="5">
        <v>137243.44353227338</v>
      </c>
      <c r="H29" s="14">
        <f t="shared" ref="H29:H36" si="3">IFERROR((D29/$D$44),"")</f>
        <v>0.12956574870358464</v>
      </c>
      <c r="I29" s="15" t="s">
        <v>195</v>
      </c>
      <c r="J29" s="14"/>
      <c r="K29" s="14"/>
    </row>
    <row r="30" spans="2:11" x14ac:dyDescent="0.35">
      <c r="B30" s="88"/>
      <c r="C30" s="88" t="s">
        <v>96</v>
      </c>
      <c r="D30" s="5">
        <f t="shared" si="2"/>
        <v>61969.879410775815</v>
      </c>
      <c r="E30" s="20">
        <f>IF(E16&lt;=0,"",E16)</f>
        <v>1</v>
      </c>
      <c r="F30" s="5" t="s">
        <v>95</v>
      </c>
      <c r="G30" s="5">
        <v>61969.879410775815</v>
      </c>
      <c r="H30" s="14">
        <f t="shared" si="3"/>
        <v>5.8503150433120182E-2</v>
      </c>
      <c r="I30" s="15" t="s">
        <v>195</v>
      </c>
      <c r="J30" s="14"/>
      <c r="K30" s="14"/>
    </row>
    <row r="31" spans="2:11" x14ac:dyDescent="0.35">
      <c r="B31" s="88"/>
      <c r="C31" s="88" t="s">
        <v>97</v>
      </c>
      <c r="D31" s="5">
        <f t="shared" si="2"/>
        <v>24433.195174656681</v>
      </c>
      <c r="E31" s="20">
        <f>IF(E17&lt;=0,"",E17)</f>
        <v>1</v>
      </c>
      <c r="F31" s="5" t="s">
        <v>95</v>
      </c>
      <c r="G31" s="5">
        <v>24433.195174656681</v>
      </c>
      <c r="H31" s="14">
        <f t="shared" si="3"/>
        <v>2.3066349433885896E-2</v>
      </c>
      <c r="I31" s="15" t="s">
        <v>195</v>
      </c>
      <c r="J31" s="14"/>
      <c r="K31" s="14"/>
    </row>
    <row r="32" spans="2:11" x14ac:dyDescent="0.35">
      <c r="B32" s="88"/>
      <c r="C32" s="88" t="s">
        <v>98</v>
      </c>
      <c r="D32" s="5">
        <f t="shared" si="2"/>
        <v>7429.0772156947141</v>
      </c>
      <c r="E32" s="20">
        <f>IF(E18&lt;=0,"",E18)</f>
        <v>1</v>
      </c>
      <c r="F32" s="5" t="s">
        <v>95</v>
      </c>
      <c r="G32" s="5">
        <v>7429.0772156947141</v>
      </c>
      <c r="H32" s="14">
        <f t="shared" si="3"/>
        <v>7.0134785812327642E-3</v>
      </c>
      <c r="I32" s="15" t="s">
        <v>195</v>
      </c>
      <c r="J32" s="14"/>
      <c r="K32" s="14"/>
    </row>
    <row r="33" spans="2:25" x14ac:dyDescent="0.35">
      <c r="B33" s="88"/>
      <c r="C33" s="88" t="s">
        <v>99</v>
      </c>
      <c r="D33" s="5">
        <f t="shared" si="2"/>
        <v>7429.0772156947141</v>
      </c>
      <c r="E33" s="20">
        <f>IF(E19&lt;=0,"",E19)</f>
        <v>1</v>
      </c>
      <c r="F33" s="5" t="s">
        <v>95</v>
      </c>
      <c r="G33" s="5">
        <v>7429.0772156947141</v>
      </c>
      <c r="H33" s="14">
        <f t="shared" si="3"/>
        <v>7.0134785812327642E-3</v>
      </c>
      <c r="I33" s="15" t="s">
        <v>196</v>
      </c>
      <c r="J33" s="14"/>
      <c r="K33" s="14"/>
    </row>
    <row r="34" spans="2:25" s="9" customFormat="1" x14ac:dyDescent="0.35">
      <c r="B34" s="92"/>
      <c r="C34" s="92" t="s">
        <v>116</v>
      </c>
      <c r="D34" s="8">
        <f t="shared" si="2"/>
        <v>5100.6488142895387</v>
      </c>
      <c r="E34" s="87">
        <v>1000</v>
      </c>
      <c r="F34" s="8" t="s">
        <v>107</v>
      </c>
      <c r="G34" s="21">
        <v>5.1006488142895385</v>
      </c>
      <c r="H34" s="14">
        <f t="shared" si="3"/>
        <v>4.8153074965804777E-3</v>
      </c>
      <c r="I34" s="56" t="s">
        <v>197</v>
      </c>
      <c r="J34" s="56"/>
      <c r="K34" s="56"/>
      <c r="L34" s="56"/>
      <c r="M34" s="56"/>
      <c r="N34" s="56"/>
      <c r="O34" s="56"/>
      <c r="P34" s="56"/>
      <c r="Q34" s="56"/>
      <c r="R34" s="56"/>
      <c r="S34" s="56"/>
      <c r="T34" s="56"/>
      <c r="U34" s="56"/>
      <c r="V34" s="56"/>
    </row>
    <row r="35" spans="2:25" x14ac:dyDescent="0.35">
      <c r="B35" s="88"/>
      <c r="C35" s="88" t="s">
        <v>117</v>
      </c>
      <c r="D35" s="5">
        <f t="shared" si="2"/>
        <v>15289.477063881612</v>
      </c>
      <c r="E35" s="85">
        <v>100</v>
      </c>
      <c r="F35" s="5" t="s">
        <v>118</v>
      </c>
      <c r="G35" s="5">
        <v>152.89477063881611</v>
      </c>
      <c r="H35" s="14">
        <f t="shared" si="3"/>
        <v>1.4434150674762598E-2</v>
      </c>
      <c r="I35" s="15" t="s">
        <v>119</v>
      </c>
      <c r="J35" s="14"/>
      <c r="K35" s="14"/>
    </row>
    <row r="36" spans="2:25" x14ac:dyDescent="0.35">
      <c r="B36" s="88"/>
      <c r="C36" s="88" t="s">
        <v>120</v>
      </c>
      <c r="D36" s="16">
        <f t="shared" si="2"/>
        <v>2728.9890314453392</v>
      </c>
      <c r="E36" s="86">
        <v>1000</v>
      </c>
      <c r="F36" s="16" t="s">
        <v>107</v>
      </c>
      <c r="G36" s="125">
        <v>2.7289890314453391</v>
      </c>
      <c r="H36" s="18">
        <f t="shared" si="3"/>
        <v>2.5763234873944201E-3</v>
      </c>
      <c r="I36" s="15" t="s">
        <v>341</v>
      </c>
      <c r="J36" s="14"/>
      <c r="K36" s="14"/>
    </row>
    <row r="37" spans="2:25" x14ac:dyDescent="0.35">
      <c r="B37" s="88"/>
      <c r="C37" s="88" t="s">
        <v>114</v>
      </c>
      <c r="D37" s="5">
        <f>SUM(D29:D36)</f>
        <v>261623.7874587118</v>
      </c>
      <c r="H37" s="14">
        <f>SUM(H29:H36)</f>
        <v>0.24698798739179376</v>
      </c>
      <c r="I37" s="15"/>
      <c r="J37" s="14"/>
      <c r="K37" s="14"/>
    </row>
    <row r="38" spans="2:25" x14ac:dyDescent="0.35">
      <c r="B38" s="88"/>
      <c r="C38" s="88"/>
      <c r="H38" s="14"/>
      <c r="I38" s="15"/>
      <c r="J38" s="14"/>
      <c r="K38" s="14"/>
    </row>
    <row r="39" spans="2:25" x14ac:dyDescent="0.35">
      <c r="B39" s="88" t="s">
        <v>121</v>
      </c>
      <c r="C39" s="88"/>
      <c r="D39" s="5">
        <f>SUM(D26,D37)*E39</f>
        <v>153515.52655028019</v>
      </c>
      <c r="E39" s="19" t="str">
        <f>'Contingency Calculation'!F20</f>
        <v>20%</v>
      </c>
      <c r="H39" s="14">
        <f>IFERROR((D39/$D$44),"")</f>
        <v>0.14492753623188404</v>
      </c>
      <c r="I39" s="15" t="s">
        <v>122</v>
      </c>
      <c r="J39" s="14"/>
      <c r="K39" s="14"/>
    </row>
    <row r="40" spans="2:25" x14ac:dyDescent="0.35">
      <c r="B40" s="88" t="s">
        <v>123</v>
      </c>
      <c r="C40" s="88"/>
      <c r="D40" s="5">
        <f>SUM(D26,D37)*E40</f>
        <v>38378.881637570048</v>
      </c>
      <c r="E40" s="19">
        <v>0.05</v>
      </c>
      <c r="H40" s="14">
        <f>IFERROR((D40/$D$44),"")</f>
        <v>3.6231884057971009E-2</v>
      </c>
      <c r="I40" s="15" t="s">
        <v>198</v>
      </c>
      <c r="J40" s="14"/>
      <c r="K40" s="14"/>
    </row>
    <row r="41" spans="2:25" x14ac:dyDescent="0.35">
      <c r="B41" s="88" t="s">
        <v>124</v>
      </c>
      <c r="C41" s="88"/>
      <c r="D41" s="5">
        <f>SUM(D26,D37)*E41</f>
        <v>38378.881637570048</v>
      </c>
      <c r="E41" s="19">
        <v>0.05</v>
      </c>
      <c r="H41" s="14">
        <f>IFERROR((D41/$D$44),"")</f>
        <v>3.6231884057971009E-2</v>
      </c>
      <c r="I41" s="15" t="s">
        <v>199</v>
      </c>
      <c r="J41" s="14"/>
      <c r="K41" s="14"/>
    </row>
    <row r="42" spans="2:25" x14ac:dyDescent="0.35">
      <c r="B42" s="88" t="s">
        <v>125</v>
      </c>
      <c r="C42" s="88"/>
      <c r="D42" s="5">
        <f>SUM(D26,D37)*E42</f>
        <v>61406.210620112077</v>
      </c>
      <c r="E42" s="19">
        <v>0.08</v>
      </c>
      <c r="G42" s="19"/>
      <c r="H42" s="14">
        <f>IFERROR((D42/$D$44),"")</f>
        <v>5.7971014492753617E-2</v>
      </c>
      <c r="I42" s="15" t="s">
        <v>385</v>
      </c>
      <c r="J42" s="14"/>
      <c r="K42" s="14"/>
    </row>
    <row r="43" spans="2:25" x14ac:dyDescent="0.35">
      <c r="B43" s="88"/>
      <c r="C43" s="88"/>
      <c r="D43" s="16"/>
      <c r="E43" s="16"/>
      <c r="F43" s="16"/>
      <c r="G43" s="17"/>
      <c r="H43" s="18"/>
      <c r="I43" s="14"/>
      <c r="J43" s="14"/>
      <c r="K43" s="14"/>
      <c r="L43" s="22"/>
    </row>
    <row r="44" spans="2:25" ht="17" x14ac:dyDescent="0.4">
      <c r="B44" s="88" t="s">
        <v>126</v>
      </c>
      <c r="C44" s="93"/>
      <c r="D44" s="23">
        <f>D26+D37+D39+D40+D41+D42</f>
        <v>1059257.1331969334</v>
      </c>
      <c r="E44" s="24"/>
      <c r="F44" s="24"/>
      <c r="G44" s="24"/>
      <c r="H44" s="25">
        <f>IFERROR((H26+H37+H39+H40+H41+H42),"")</f>
        <v>0.99999999999999978</v>
      </c>
      <c r="I44" s="25"/>
      <c r="J44" s="25"/>
      <c r="K44" s="25"/>
      <c r="L44" s="26"/>
    </row>
    <row r="45" spans="2:25" x14ac:dyDescent="0.35">
      <c r="C45" s="27"/>
      <c r="D45" s="28"/>
      <c r="E45" s="28"/>
      <c r="F45" s="28"/>
      <c r="G45" s="28"/>
      <c r="H45" s="29"/>
      <c r="I45" s="29"/>
      <c r="J45" s="29"/>
      <c r="K45" s="29"/>
      <c r="L45" s="27"/>
      <c r="V45" s="3"/>
      <c r="W45" s="3"/>
      <c r="X45" s="3"/>
    </row>
    <row r="46" spans="2:25" x14ac:dyDescent="0.35">
      <c r="B46" s="88" t="s">
        <v>127</v>
      </c>
      <c r="C46" s="88"/>
      <c r="D46" s="88"/>
      <c r="E46" s="88"/>
      <c r="F46" s="88"/>
      <c r="G46" s="88"/>
      <c r="H46" s="88"/>
      <c r="I46" s="30"/>
      <c r="J46" s="94" t="s">
        <v>128</v>
      </c>
      <c r="K46" s="94" t="s">
        <v>129</v>
      </c>
      <c r="L46" s="31"/>
      <c r="M46" s="95"/>
      <c r="N46" s="96" t="s">
        <v>130</v>
      </c>
      <c r="O46" s="96"/>
      <c r="P46" s="97"/>
      <c r="Q46" s="97"/>
      <c r="R46" s="31"/>
      <c r="S46" s="31"/>
      <c r="U46" s="70"/>
      <c r="V46" s="3"/>
      <c r="W46" s="3"/>
      <c r="X46" s="3"/>
      <c r="Y46" s="71"/>
    </row>
    <row r="47" spans="2:25" ht="17.149999999999999" customHeight="1" x14ac:dyDescent="0.35">
      <c r="B47" s="890" t="s">
        <v>131</v>
      </c>
      <c r="C47" s="890"/>
      <c r="D47" s="890"/>
      <c r="E47" s="890"/>
      <c r="F47" s="890"/>
      <c r="G47" s="890"/>
      <c r="H47" s="890"/>
      <c r="I47" s="32"/>
      <c r="J47" s="74" t="s">
        <v>107</v>
      </c>
      <c r="K47" s="74" t="s">
        <v>132</v>
      </c>
      <c r="L47" s="31"/>
      <c r="M47" s="33" t="s">
        <v>133</v>
      </c>
      <c r="N47" s="34"/>
      <c r="O47" s="35"/>
      <c r="P47" s="36">
        <f>D26+(D26*E39)+(D26*E40)+(D26*E41)+(D26*E42)</f>
        <v>698216.30650391092</v>
      </c>
      <c r="Q47" s="69">
        <f>P47</f>
        <v>698216.30650391092</v>
      </c>
      <c r="R47" s="31"/>
      <c r="S47" s="31"/>
      <c r="U47" s="70"/>
      <c r="V47" s="3"/>
      <c r="W47" s="3"/>
      <c r="X47" s="4"/>
      <c r="Y47" s="71"/>
    </row>
    <row r="48" spans="2:25" x14ac:dyDescent="0.35">
      <c r="B48" s="890"/>
      <c r="C48" s="890"/>
      <c r="D48" s="890"/>
      <c r="E48" s="890"/>
      <c r="F48" s="890"/>
      <c r="G48" s="890"/>
      <c r="H48" s="890"/>
      <c r="I48" s="32"/>
      <c r="J48" s="74" t="s">
        <v>95</v>
      </c>
      <c r="K48" s="74" t="s">
        <v>134</v>
      </c>
      <c r="L48" s="37"/>
      <c r="M48" s="38" t="s">
        <v>115</v>
      </c>
      <c r="N48" s="34"/>
      <c r="O48" s="35"/>
      <c r="P48" s="36">
        <f>D37+(D37*E39)+(D37*E40)+(D37*E41)+(D37*E42)</f>
        <v>361040.82669302222</v>
      </c>
      <c r="Q48" s="69">
        <f>P48</f>
        <v>361040.82669302222</v>
      </c>
      <c r="R48" s="31"/>
      <c r="X48" s="72"/>
      <c r="Y48" s="71"/>
    </row>
    <row r="49" spans="2:25" x14ac:dyDescent="0.35">
      <c r="B49" s="890"/>
      <c r="C49" s="890"/>
      <c r="D49" s="890"/>
      <c r="E49" s="890"/>
      <c r="F49" s="890"/>
      <c r="G49" s="890"/>
      <c r="H49" s="890"/>
      <c r="I49" s="32"/>
      <c r="J49" s="74" t="s">
        <v>101</v>
      </c>
      <c r="K49" s="74" t="s">
        <v>135</v>
      </c>
      <c r="L49" s="37"/>
      <c r="M49" s="40" t="s">
        <v>136</v>
      </c>
      <c r="N49" s="41"/>
      <c r="O49" s="42"/>
      <c r="P49" s="43">
        <f>P47+P48</f>
        <v>1059257.1331969332</v>
      </c>
      <c r="Q49" s="43">
        <f>Q47+Q48</f>
        <v>1059257.1331969332</v>
      </c>
      <c r="R49" s="31"/>
    </row>
    <row r="50" spans="2:25" x14ac:dyDescent="0.35">
      <c r="B50" s="890"/>
      <c r="C50" s="890"/>
      <c r="D50" s="890"/>
      <c r="E50" s="890"/>
      <c r="F50" s="890"/>
      <c r="G50" s="890"/>
      <c r="H50" s="890"/>
      <c r="I50" s="32"/>
      <c r="J50" s="74" t="s">
        <v>137</v>
      </c>
      <c r="K50" s="74" t="s">
        <v>138</v>
      </c>
      <c r="L50" s="37"/>
      <c r="M50" s="44"/>
      <c r="N50" s="31"/>
      <c r="O50" s="31"/>
      <c r="P50" s="31"/>
      <c r="Q50" s="31"/>
      <c r="R50" s="31"/>
      <c r="S50" s="31"/>
      <c r="T50" s="31"/>
      <c r="U50" s="73"/>
      <c r="V50" s="3"/>
      <c r="W50" s="3"/>
      <c r="X50" s="4"/>
      <c r="Y50" s="71"/>
    </row>
    <row r="51" spans="2:25" x14ac:dyDescent="0.35">
      <c r="B51" s="890"/>
      <c r="C51" s="890"/>
      <c r="D51" s="890"/>
      <c r="E51" s="890"/>
      <c r="F51" s="890"/>
      <c r="G51" s="890"/>
      <c r="H51" s="890"/>
      <c r="I51" s="32"/>
      <c r="J51" s="74" t="s">
        <v>104</v>
      </c>
      <c r="K51" s="74" t="s">
        <v>339</v>
      </c>
      <c r="L51" s="37"/>
      <c r="M51" s="761" t="s">
        <v>251</v>
      </c>
      <c r="N51" s="410"/>
      <c r="O51" s="412"/>
      <c r="P51" s="410"/>
      <c r="Q51" s="410"/>
      <c r="R51" s="412"/>
      <c r="S51" s="410"/>
      <c r="T51" s="149"/>
      <c r="U51" s="228"/>
      <c r="V51" s="561"/>
      <c r="W51" s="129"/>
    </row>
    <row r="52" spans="2:25" x14ac:dyDescent="0.35">
      <c r="B52" s="890"/>
      <c r="C52" s="890"/>
      <c r="D52" s="890"/>
      <c r="E52" s="890"/>
      <c r="F52" s="890"/>
      <c r="G52" s="890"/>
      <c r="H52" s="890"/>
      <c r="I52" s="32"/>
      <c r="J52" s="74" t="s">
        <v>118</v>
      </c>
      <c r="K52" s="74" t="s">
        <v>139</v>
      </c>
      <c r="L52" s="37"/>
      <c r="M52" s="44"/>
      <c r="N52" s="31"/>
      <c r="O52" s="31"/>
      <c r="P52" s="31"/>
      <c r="Q52" s="31"/>
      <c r="R52" s="31"/>
      <c r="S52" s="31"/>
      <c r="T52" s="31"/>
      <c r="U52" s="31"/>
    </row>
    <row r="53" spans="2:25" x14ac:dyDescent="0.35">
      <c r="B53" s="890"/>
      <c r="C53" s="890"/>
      <c r="D53" s="890"/>
      <c r="E53" s="890"/>
      <c r="F53" s="890"/>
      <c r="G53" s="890"/>
      <c r="H53" s="890"/>
      <c r="I53" s="32"/>
      <c r="J53" s="74" t="s">
        <v>112</v>
      </c>
      <c r="K53" s="74" t="s">
        <v>140</v>
      </c>
      <c r="L53" s="37"/>
      <c r="M53" s="44"/>
      <c r="N53" s="31"/>
      <c r="O53" s="31"/>
      <c r="P53" s="31"/>
      <c r="Q53" s="31"/>
      <c r="R53" s="31"/>
      <c r="S53" s="31"/>
      <c r="T53" s="31"/>
      <c r="U53" s="31"/>
    </row>
    <row r="54" spans="2:25" x14ac:dyDescent="0.35">
      <c r="B54" s="45"/>
      <c r="C54" s="45"/>
      <c r="D54" s="45"/>
      <c r="E54" s="45"/>
      <c r="F54" s="45"/>
      <c r="G54" s="45"/>
      <c r="H54" s="45"/>
      <c r="I54" s="32"/>
      <c r="J54" s="32"/>
      <c r="K54" s="32"/>
      <c r="L54" s="37"/>
      <c r="M54" s="44"/>
      <c r="N54" s="31"/>
      <c r="O54" s="31"/>
      <c r="P54" s="31"/>
      <c r="Q54" s="31"/>
      <c r="R54" s="31"/>
      <c r="S54" s="31"/>
      <c r="T54" s="31"/>
      <c r="U54" s="31"/>
    </row>
  </sheetData>
  <sheetProtection algorithmName="SHA-512" hashValue="7I1qlFk/3pVBX6B0I5VWSnh10ekcy8j5aDpz/6/gZwVwxWdm385853AkF1wtP3BucT7XtJ4u/DgU9RLQHDpw3w==" saltValue="emuqDJCEMLHmBO24JoYNjw==" spinCount="100000" sheet="1" objects="1" scenarios="1" selectLockedCells="1"/>
  <dataValidations count="1">
    <dataValidation type="list" allowBlank="1" showInputMessage="1" showErrorMessage="1" sqref="F15:F25 F29:F36" xr:uid="{3709CDFC-E378-4DC1-A2C2-90E37A33F95F}">
      <formula1>"CF, EA, LF, LS, TON, CY, SF"</formula1>
    </dataValidation>
  </dataValidations>
  <pageMargins left="0.25" right="0.25" top="0.75" bottom="0.75" header="0.3" footer="0.3"/>
  <pageSetup scale="6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2D486-EE19-4774-9F9A-A6442BFAB01E}">
  <sheetPr codeName="Sheet9">
    <tabColor theme="9" tint="-0.499984740745262"/>
    <pageSetUpPr fitToPage="1"/>
  </sheetPr>
  <dimension ref="B1:X65"/>
  <sheetViews>
    <sheetView showZeros="0" zoomScale="90" zoomScaleNormal="90" workbookViewId="0">
      <pane xSplit="5" ySplit="11" topLeftCell="F14" activePane="bottomRight" state="frozenSplit"/>
      <selection activeCell="D18" sqref="D18"/>
      <selection pane="topRight" activeCell="D18" sqref="D18"/>
      <selection pane="bottomLeft" activeCell="D18" sqref="D18"/>
      <selection pane="bottomRight" activeCell="J29" sqref="J29"/>
    </sheetView>
  </sheetViews>
  <sheetFormatPr defaultColWidth="9.1796875" defaultRowHeight="14.5" x14ac:dyDescent="0.35"/>
  <cols>
    <col min="1" max="1" width="3.7265625" style="129" customWidth="1"/>
    <col min="2" max="3" width="13.54296875" style="129" customWidth="1"/>
    <col min="4" max="4" width="13.54296875" style="149" customWidth="1"/>
    <col min="5" max="5" width="13.54296875" style="150" customWidth="1"/>
    <col min="6" max="6" width="1.26953125" style="151" customWidth="1"/>
    <col min="7" max="11" width="8.6328125" style="149" customWidth="1"/>
    <col min="12" max="12" width="1.26953125" style="129" customWidth="1"/>
    <col min="13" max="15" width="8.6328125" style="149" customWidth="1"/>
    <col min="16" max="16" width="1.26953125" style="149" customWidth="1"/>
    <col min="17" max="20" width="8.6328125" style="149" customWidth="1"/>
    <col min="21" max="21" width="1.26953125" style="149" customWidth="1"/>
    <col min="22" max="22" width="10.54296875" style="149" hidden="1" customWidth="1"/>
    <col min="23" max="23" width="17.54296875" style="149" customWidth="1"/>
    <col min="24" max="16384" width="9.1796875" style="129"/>
  </cols>
  <sheetData>
    <row r="1" spans="2:23" ht="15" thickBot="1" x14ac:dyDescent="0.4">
      <c r="S1" s="152"/>
      <c r="T1" s="152"/>
      <c r="U1" s="152"/>
      <c r="V1" s="152"/>
      <c r="W1" s="152"/>
    </row>
    <row r="2" spans="2:23" ht="15" customHeight="1" thickTop="1" x14ac:dyDescent="0.35">
      <c r="B2" s="154"/>
      <c r="C2" s="154"/>
      <c r="D2" s="155"/>
      <c r="E2" s="156"/>
      <c r="F2" s="156"/>
      <c r="G2" s="156"/>
      <c r="H2" s="156"/>
      <c r="I2" s="156"/>
      <c r="J2" s="156"/>
      <c r="K2" s="156"/>
      <c r="L2" s="156"/>
      <c r="M2" s="156"/>
      <c r="N2" s="156"/>
      <c r="O2" s="156"/>
      <c r="P2" s="157"/>
      <c r="Q2" s="155"/>
      <c r="R2" s="155"/>
    </row>
    <row r="3" spans="2:23" ht="20.149999999999999" customHeight="1" x14ac:dyDescent="0.35">
      <c r="E3" s="158"/>
      <c r="F3" s="158"/>
      <c r="G3" s="158"/>
      <c r="I3" s="215" t="s">
        <v>157</v>
      </c>
      <c r="K3" s="158"/>
      <c r="L3" s="158"/>
      <c r="M3" s="158"/>
      <c r="N3" s="158"/>
      <c r="O3" s="158"/>
      <c r="P3" s="160"/>
    </row>
    <row r="4" spans="2:23" ht="20.149999999999999" customHeight="1" x14ac:dyDescent="0.35">
      <c r="E4" s="158"/>
      <c r="F4" s="158"/>
      <c r="G4" s="158"/>
      <c r="H4" s="158"/>
      <c r="I4" s="215" t="s">
        <v>277</v>
      </c>
      <c r="J4" s="215"/>
      <c r="K4" s="374"/>
      <c r="L4" s="158"/>
      <c r="M4" s="609"/>
      <c r="N4" s="609"/>
      <c r="O4" s="609"/>
      <c r="P4" s="160"/>
    </row>
    <row r="5" spans="2:23" ht="15" customHeight="1" thickBot="1" x14ac:dyDescent="0.4">
      <c r="B5" s="153"/>
      <c r="C5" s="153"/>
      <c r="D5" s="152"/>
      <c r="E5" s="161"/>
      <c r="F5" s="161"/>
      <c r="G5" s="161"/>
      <c r="H5" s="161"/>
      <c r="I5" s="161"/>
      <c r="J5" s="161"/>
      <c r="K5" s="161"/>
      <c r="L5" s="161"/>
      <c r="M5" s="161"/>
      <c r="N5" s="161"/>
      <c r="O5" s="161"/>
      <c r="P5" s="162"/>
      <c r="Q5" s="152"/>
      <c r="R5" s="152"/>
      <c r="S5" s="152"/>
      <c r="T5" s="152"/>
      <c r="U5" s="152"/>
      <c r="V5" s="152"/>
      <c r="W5" s="152"/>
    </row>
    <row r="6" spans="2:23" ht="7" customHeight="1" thickTop="1" x14ac:dyDescent="0.35">
      <c r="E6" s="163"/>
      <c r="F6" s="164"/>
      <c r="G6" s="164"/>
      <c r="H6" s="164"/>
      <c r="I6" s="164"/>
    </row>
    <row r="7" spans="2:23" ht="7" customHeight="1" x14ac:dyDescent="0.35">
      <c r="E7" s="163"/>
      <c r="F7" s="164"/>
      <c r="G7" s="164"/>
      <c r="H7" s="164"/>
      <c r="I7" s="164"/>
    </row>
    <row r="8" spans="2:23" ht="17" x14ac:dyDescent="0.4">
      <c r="B8" s="165"/>
      <c r="C8" s="173" t="s">
        <v>167</v>
      </c>
      <c r="D8" s="166"/>
      <c r="E8" s="167"/>
      <c r="F8" s="164"/>
      <c r="G8" s="168"/>
      <c r="H8" s="216" t="s">
        <v>160</v>
      </c>
      <c r="I8" s="217"/>
      <c r="J8" s="169"/>
      <c r="K8" s="170"/>
      <c r="L8" s="171"/>
      <c r="M8" s="218"/>
      <c r="N8" s="219" t="s">
        <v>168</v>
      </c>
      <c r="O8" s="220"/>
      <c r="P8" s="171"/>
      <c r="Q8" s="165" t="s">
        <v>249</v>
      </c>
      <c r="R8" s="173"/>
      <c r="S8" s="166"/>
      <c r="T8" s="167"/>
      <c r="U8" s="172"/>
      <c r="V8" s="165"/>
      <c r="W8" s="611" t="s">
        <v>169</v>
      </c>
    </row>
    <row r="9" spans="2:23" s="174" customFormat="1" ht="130.5" customHeight="1" x14ac:dyDescent="0.35">
      <c r="B9" s="762" t="s">
        <v>342</v>
      </c>
      <c r="C9" s="763" t="s">
        <v>343</v>
      </c>
      <c r="D9" s="764" t="s">
        <v>367</v>
      </c>
      <c r="E9" s="765" t="s">
        <v>368</v>
      </c>
      <c r="F9" s="766"/>
      <c r="G9" s="762" t="s">
        <v>351</v>
      </c>
      <c r="H9" s="763" t="s">
        <v>352</v>
      </c>
      <c r="I9" s="767" t="s">
        <v>356</v>
      </c>
      <c r="J9" s="763" t="s">
        <v>353</v>
      </c>
      <c r="K9" s="768" t="s">
        <v>369</v>
      </c>
      <c r="L9" s="769"/>
      <c r="M9" s="762" t="s">
        <v>370</v>
      </c>
      <c r="N9" s="763" t="s">
        <v>371</v>
      </c>
      <c r="O9" s="768" t="s">
        <v>358</v>
      </c>
      <c r="P9" s="769"/>
      <c r="Q9" s="762" t="s">
        <v>360</v>
      </c>
      <c r="R9" s="767" t="s">
        <v>361</v>
      </c>
      <c r="S9" s="767" t="s">
        <v>362</v>
      </c>
      <c r="T9" s="770" t="s">
        <v>363</v>
      </c>
      <c r="U9" s="771"/>
      <c r="V9" s="772" t="s">
        <v>146</v>
      </c>
      <c r="W9" s="773" t="s">
        <v>373</v>
      </c>
    </row>
    <row r="10" spans="2:23" s="174" customFormat="1" x14ac:dyDescent="0.35">
      <c r="B10" s="175"/>
      <c r="C10" s="176"/>
      <c r="D10" s="176"/>
      <c r="E10" s="177" t="s">
        <v>147</v>
      </c>
      <c r="F10" s="178"/>
      <c r="G10" s="179">
        <v>25.702247579854244</v>
      </c>
      <c r="H10" s="180">
        <v>9.3835811499490092</v>
      </c>
      <c r="I10" s="180">
        <v>450.36119201858583</v>
      </c>
      <c r="J10" s="180">
        <v>11.829775548668364</v>
      </c>
      <c r="K10" s="181">
        <v>5148.568283383468</v>
      </c>
      <c r="L10" s="182"/>
      <c r="M10" s="179">
        <v>11913.750458563183</v>
      </c>
      <c r="N10" s="180">
        <v>7538.8030763996621</v>
      </c>
      <c r="O10" s="181">
        <v>152.89477063881611</v>
      </c>
      <c r="P10" s="183"/>
      <c r="Q10" s="184"/>
      <c r="R10" s="185"/>
      <c r="S10" s="185"/>
      <c r="T10" s="186"/>
      <c r="U10" s="187"/>
      <c r="V10" s="188"/>
      <c r="W10" s="221"/>
    </row>
    <row r="11" spans="2:23" s="174" customFormat="1" x14ac:dyDescent="0.35">
      <c r="B11" s="189"/>
      <c r="C11" s="190"/>
      <c r="D11" s="190"/>
      <c r="E11" s="191" t="s">
        <v>89</v>
      </c>
      <c r="F11" s="178"/>
      <c r="G11" s="192" t="s">
        <v>101</v>
      </c>
      <c r="H11" s="193" t="s">
        <v>101</v>
      </c>
      <c r="I11" s="193" t="s">
        <v>104</v>
      </c>
      <c r="J11" s="193" t="s">
        <v>107</v>
      </c>
      <c r="K11" s="194" t="s">
        <v>95</v>
      </c>
      <c r="L11" s="183"/>
      <c r="M11" s="192" t="s">
        <v>95</v>
      </c>
      <c r="N11" s="193" t="s">
        <v>95</v>
      </c>
      <c r="O11" s="194" t="s">
        <v>118</v>
      </c>
      <c r="P11" s="183"/>
      <c r="Q11" s="195"/>
      <c r="R11" s="196"/>
      <c r="S11" s="196"/>
      <c r="T11" s="197"/>
      <c r="U11" s="187"/>
      <c r="V11" s="198"/>
      <c r="W11" s="222"/>
    </row>
    <row r="12" spans="2:23" s="138" customFormat="1" hidden="1" x14ac:dyDescent="0.35">
      <c r="B12" s="847" t="s">
        <v>206</v>
      </c>
      <c r="C12" s="847" t="s">
        <v>207</v>
      </c>
      <c r="D12" s="848" t="s">
        <v>208</v>
      </c>
      <c r="E12" s="863" t="s">
        <v>209</v>
      </c>
      <c r="F12" s="876" t="s">
        <v>210</v>
      </c>
      <c r="G12" s="104" t="s">
        <v>211</v>
      </c>
      <c r="H12" s="102" t="s">
        <v>212</v>
      </c>
      <c r="I12" s="102" t="s">
        <v>213</v>
      </c>
      <c r="J12" s="105" t="s">
        <v>214</v>
      </c>
      <c r="K12" s="105" t="s">
        <v>215</v>
      </c>
      <c r="L12" s="873" t="s">
        <v>216</v>
      </c>
      <c r="M12" s="142" t="s">
        <v>217</v>
      </c>
      <c r="N12" s="105" t="s">
        <v>218</v>
      </c>
      <c r="O12" s="102" t="s">
        <v>219</v>
      </c>
      <c r="P12" s="874" t="s">
        <v>220</v>
      </c>
      <c r="Q12" s="101" t="s">
        <v>221</v>
      </c>
      <c r="R12" s="143" t="s">
        <v>222</v>
      </c>
      <c r="S12" s="143" t="s">
        <v>223</v>
      </c>
      <c r="T12" s="143" t="s">
        <v>224</v>
      </c>
      <c r="U12" s="875" t="s">
        <v>225</v>
      </c>
      <c r="V12" s="849" t="s">
        <v>226</v>
      </c>
      <c r="W12" s="856" t="s">
        <v>227</v>
      </c>
    </row>
    <row r="13" spans="2:23" s="138" customFormat="1" hidden="1" x14ac:dyDescent="0.35">
      <c r="B13" s="847" t="s">
        <v>281</v>
      </c>
      <c r="C13" s="847" t="s">
        <v>282</v>
      </c>
      <c r="D13" s="848" t="s">
        <v>193</v>
      </c>
      <c r="E13" s="863" t="s">
        <v>286</v>
      </c>
      <c r="F13" s="876"/>
      <c r="G13" s="104"/>
      <c r="H13" s="102"/>
      <c r="I13" s="102"/>
      <c r="J13" s="105">
        <f>K13*$I$49</f>
        <v>0</v>
      </c>
      <c r="K13" s="105"/>
      <c r="L13" s="873"/>
      <c r="M13" s="142"/>
      <c r="N13" s="105"/>
      <c r="O13" s="102"/>
      <c r="P13" s="874"/>
      <c r="Q13" s="101">
        <v>0.3</v>
      </c>
      <c r="R13" s="143">
        <f t="shared" ref="R13:R30" si="0">$T$45</f>
        <v>0.05</v>
      </c>
      <c r="S13" s="143">
        <f t="shared" ref="S13:S30" si="1">$T$46</f>
        <v>0.05</v>
      </c>
      <c r="T13" s="143">
        <f t="shared" ref="T13:T30" si="2">$T$47</f>
        <v>0.08</v>
      </c>
      <c r="U13" s="875"/>
      <c r="V13" s="849">
        <f t="shared" ref="V13:V30" si="3">((G13*$G$10)+(H13*$H$10)+(I13*$I$10)+(J13*$J$10)+(N13*$N$10)+(K13*$K$10)+(M13*$M$10)+(O13*$O$10))+(((G13*$G$10)+(H13*$H$10)+(I13*$I$10)+(J13*$J$10)+(N13*$N$10)+(K13*$K$10)+(M13*$M$10)+(O13*$O$10))*Q13)+(((G13*$G$10)+(H13*$H$10)+(I13*$I$10)+(J13*$J$10)+(N13*$N$10)+(K13*$K$10)+(M13*$M$10)+(O13*$O$10))*R13)+(((G13*$G$10)+(H13*$H$10)+(I13*$I$10)+(J13*$J$10)+(N13*$N$10)+(K13*$K$10)+(M13*$M$10)+(O13*$O$10))*S13)+(((G13*$G$10)+(H13*$H$10)+(I13*$I$10)+(J13*$J$10)+(N13*$N$10)+(K13*$K$10)+(M13*$M$10)+(O13*$O$10))*T13)</f>
        <v>0</v>
      </c>
      <c r="W13" s="856">
        <f t="shared" ref="W13:W30" si="4">ROUND(V13,0)</f>
        <v>0</v>
      </c>
    </row>
    <row r="14" spans="2:23" s="138" customFormat="1" x14ac:dyDescent="0.35">
      <c r="B14" s="847" t="s">
        <v>281</v>
      </c>
      <c r="C14" s="847" t="s">
        <v>282</v>
      </c>
      <c r="D14" s="848" t="s">
        <v>193</v>
      </c>
      <c r="E14" s="863" t="s">
        <v>286</v>
      </c>
      <c r="F14" s="864"/>
      <c r="G14" s="104">
        <v>100</v>
      </c>
      <c r="H14" s="102">
        <v>50</v>
      </c>
      <c r="I14" s="102">
        <v>2</v>
      </c>
      <c r="J14" s="105"/>
      <c r="K14" s="105"/>
      <c r="L14" s="867"/>
      <c r="M14" s="142">
        <f t="shared" ref="M14:M30" si="5">$T$48</f>
        <v>1</v>
      </c>
      <c r="N14" s="105"/>
      <c r="O14" s="102"/>
      <c r="P14" s="868"/>
      <c r="Q14" s="101">
        <v>0.1</v>
      </c>
      <c r="R14" s="143">
        <f t="shared" si="0"/>
        <v>0.05</v>
      </c>
      <c r="S14" s="143">
        <f t="shared" si="1"/>
        <v>0.05</v>
      </c>
      <c r="T14" s="143">
        <f t="shared" si="2"/>
        <v>0.08</v>
      </c>
      <c r="U14" s="861"/>
      <c r="V14" s="136">
        <f t="shared" si="3"/>
        <v>20292.962122346536</v>
      </c>
      <c r="W14" s="364">
        <f t="shared" ref="W14:W16" si="6">ROUND(V14,0)</f>
        <v>20293</v>
      </c>
    </row>
    <row r="15" spans="2:23" s="138" customFormat="1" x14ac:dyDescent="0.35">
      <c r="B15" s="847" t="s">
        <v>281</v>
      </c>
      <c r="C15" s="847" t="s">
        <v>282</v>
      </c>
      <c r="D15" s="848" t="s">
        <v>193</v>
      </c>
      <c r="E15" s="863" t="s">
        <v>288</v>
      </c>
      <c r="F15" s="864"/>
      <c r="G15" s="104">
        <v>100</v>
      </c>
      <c r="H15" s="102">
        <v>50</v>
      </c>
      <c r="I15" s="102">
        <v>2</v>
      </c>
      <c r="J15" s="105"/>
      <c r="K15" s="105"/>
      <c r="L15" s="867"/>
      <c r="M15" s="142">
        <f t="shared" si="5"/>
        <v>1</v>
      </c>
      <c r="N15" s="105"/>
      <c r="O15" s="102"/>
      <c r="P15" s="868"/>
      <c r="Q15" s="101">
        <v>0.2</v>
      </c>
      <c r="R15" s="143">
        <f t="shared" si="0"/>
        <v>0.05</v>
      </c>
      <c r="S15" s="143">
        <f t="shared" si="1"/>
        <v>0.05</v>
      </c>
      <c r="T15" s="143">
        <f t="shared" si="2"/>
        <v>0.08</v>
      </c>
      <c r="U15" s="861"/>
      <c r="V15" s="136">
        <f t="shared" si="3"/>
        <v>21878.349788154861</v>
      </c>
      <c r="W15" s="364">
        <f t="shared" si="6"/>
        <v>21878</v>
      </c>
    </row>
    <row r="16" spans="2:23" s="138" customFormat="1" x14ac:dyDescent="0.35">
      <c r="B16" s="847" t="s">
        <v>281</v>
      </c>
      <c r="C16" s="847" t="s">
        <v>282</v>
      </c>
      <c r="D16" s="848" t="s">
        <v>193</v>
      </c>
      <c r="E16" s="863" t="s">
        <v>290</v>
      </c>
      <c r="F16" s="864"/>
      <c r="G16" s="104">
        <v>100</v>
      </c>
      <c r="H16" s="102">
        <v>50</v>
      </c>
      <c r="I16" s="102">
        <v>2</v>
      </c>
      <c r="J16" s="105"/>
      <c r="K16" s="105"/>
      <c r="L16" s="867"/>
      <c r="M16" s="142">
        <f t="shared" si="5"/>
        <v>1</v>
      </c>
      <c r="N16" s="105"/>
      <c r="O16" s="102"/>
      <c r="P16" s="868"/>
      <c r="Q16" s="101">
        <v>0.3</v>
      </c>
      <c r="R16" s="143">
        <f t="shared" si="0"/>
        <v>0.05</v>
      </c>
      <c r="S16" s="143">
        <f t="shared" si="1"/>
        <v>0.05</v>
      </c>
      <c r="T16" s="143">
        <f t="shared" si="2"/>
        <v>0.08</v>
      </c>
      <c r="U16" s="861"/>
      <c r="V16" s="136">
        <f t="shared" si="3"/>
        <v>23463.737453963186</v>
      </c>
      <c r="W16" s="364">
        <f t="shared" si="6"/>
        <v>23464</v>
      </c>
    </row>
    <row r="17" spans="2:23" s="138" customFormat="1" x14ac:dyDescent="0.35">
      <c r="B17" s="847" t="s">
        <v>281</v>
      </c>
      <c r="C17" s="847" t="s">
        <v>282</v>
      </c>
      <c r="D17" s="848" t="s">
        <v>193</v>
      </c>
      <c r="E17" s="863" t="s">
        <v>292</v>
      </c>
      <c r="F17" s="864"/>
      <c r="G17" s="104">
        <v>100</v>
      </c>
      <c r="H17" s="102">
        <v>50</v>
      </c>
      <c r="I17" s="102">
        <v>2</v>
      </c>
      <c r="J17" s="105"/>
      <c r="K17" s="105"/>
      <c r="L17" s="867"/>
      <c r="M17" s="142">
        <f t="shared" si="5"/>
        <v>1</v>
      </c>
      <c r="N17" s="105"/>
      <c r="O17" s="102"/>
      <c r="P17" s="868"/>
      <c r="Q17" s="101">
        <v>0.1</v>
      </c>
      <c r="R17" s="143">
        <f t="shared" si="0"/>
        <v>0.05</v>
      </c>
      <c r="S17" s="143">
        <f t="shared" si="1"/>
        <v>0.05</v>
      </c>
      <c r="T17" s="143">
        <f t="shared" si="2"/>
        <v>0.08</v>
      </c>
      <c r="U17" s="861"/>
      <c r="V17" s="136">
        <f t="shared" si="3"/>
        <v>20292.962122346536</v>
      </c>
      <c r="W17" s="364">
        <f t="shared" ref="W17:W27" si="7">ROUND(V17,0)</f>
        <v>20293</v>
      </c>
    </row>
    <row r="18" spans="2:23" s="138" customFormat="1" x14ac:dyDescent="0.35">
      <c r="B18" s="847" t="s">
        <v>281</v>
      </c>
      <c r="C18" s="847" t="s">
        <v>282</v>
      </c>
      <c r="D18" s="848" t="s">
        <v>193</v>
      </c>
      <c r="E18" s="863" t="s">
        <v>294</v>
      </c>
      <c r="F18" s="864"/>
      <c r="G18" s="104">
        <v>100</v>
      </c>
      <c r="H18" s="102">
        <v>50</v>
      </c>
      <c r="I18" s="102">
        <v>2</v>
      </c>
      <c r="J18" s="105"/>
      <c r="K18" s="105"/>
      <c r="L18" s="867"/>
      <c r="M18" s="142">
        <f t="shared" si="5"/>
        <v>1</v>
      </c>
      <c r="N18" s="105"/>
      <c r="O18" s="102"/>
      <c r="P18" s="868"/>
      <c r="Q18" s="101">
        <v>0.2</v>
      </c>
      <c r="R18" s="143">
        <f t="shared" si="0"/>
        <v>0.05</v>
      </c>
      <c r="S18" s="143">
        <f t="shared" si="1"/>
        <v>0.05</v>
      </c>
      <c r="T18" s="143">
        <f t="shared" si="2"/>
        <v>0.08</v>
      </c>
      <c r="U18" s="861"/>
      <c r="V18" s="136">
        <f t="shared" si="3"/>
        <v>21878.349788154861</v>
      </c>
      <c r="W18" s="364">
        <f t="shared" si="7"/>
        <v>21878</v>
      </c>
    </row>
    <row r="19" spans="2:23" s="138" customFormat="1" x14ac:dyDescent="0.35">
      <c r="B19" s="847" t="s">
        <v>281</v>
      </c>
      <c r="C19" s="847" t="s">
        <v>282</v>
      </c>
      <c r="D19" s="848" t="s">
        <v>193</v>
      </c>
      <c r="E19" s="863" t="s">
        <v>296</v>
      </c>
      <c r="F19" s="864"/>
      <c r="G19" s="104">
        <v>100</v>
      </c>
      <c r="H19" s="102">
        <v>50</v>
      </c>
      <c r="I19" s="102">
        <v>2</v>
      </c>
      <c r="J19" s="105"/>
      <c r="K19" s="105"/>
      <c r="L19" s="867"/>
      <c r="M19" s="142">
        <f t="shared" si="5"/>
        <v>1</v>
      </c>
      <c r="N19" s="105"/>
      <c r="O19" s="102"/>
      <c r="P19" s="868"/>
      <c r="Q19" s="101">
        <v>0.3</v>
      </c>
      <c r="R19" s="143">
        <f t="shared" si="0"/>
        <v>0.05</v>
      </c>
      <c r="S19" s="143">
        <f t="shared" si="1"/>
        <v>0.05</v>
      </c>
      <c r="T19" s="143">
        <f t="shared" si="2"/>
        <v>0.08</v>
      </c>
      <c r="U19" s="861"/>
      <c r="V19" s="136">
        <f t="shared" si="3"/>
        <v>23463.737453963186</v>
      </c>
      <c r="W19" s="364">
        <f t="shared" ref="W19:W22" si="8">ROUND(V19,0)</f>
        <v>23464</v>
      </c>
    </row>
    <row r="20" spans="2:23" s="138" customFormat="1" x14ac:dyDescent="0.35">
      <c r="B20" s="847" t="s">
        <v>281</v>
      </c>
      <c r="C20" s="847" t="s">
        <v>282</v>
      </c>
      <c r="D20" s="848" t="s">
        <v>193</v>
      </c>
      <c r="E20" s="863" t="s">
        <v>298</v>
      </c>
      <c r="F20" s="864"/>
      <c r="G20" s="104">
        <v>100</v>
      </c>
      <c r="H20" s="102">
        <v>50</v>
      </c>
      <c r="I20" s="102">
        <v>2</v>
      </c>
      <c r="J20" s="105"/>
      <c r="K20" s="105"/>
      <c r="L20" s="867"/>
      <c r="M20" s="142">
        <f t="shared" si="5"/>
        <v>1</v>
      </c>
      <c r="N20" s="105"/>
      <c r="O20" s="102"/>
      <c r="P20" s="868"/>
      <c r="Q20" s="101">
        <v>0.1</v>
      </c>
      <c r="R20" s="143">
        <f t="shared" si="0"/>
        <v>0.05</v>
      </c>
      <c r="S20" s="143">
        <f t="shared" si="1"/>
        <v>0.05</v>
      </c>
      <c r="T20" s="143">
        <f t="shared" si="2"/>
        <v>0.08</v>
      </c>
      <c r="U20" s="861"/>
      <c r="V20" s="136">
        <f t="shared" si="3"/>
        <v>20292.962122346536</v>
      </c>
      <c r="W20" s="364">
        <f t="shared" si="8"/>
        <v>20293</v>
      </c>
    </row>
    <row r="21" spans="2:23" s="138" customFormat="1" x14ac:dyDescent="0.35">
      <c r="B21" s="847" t="s">
        <v>281</v>
      </c>
      <c r="C21" s="847" t="s">
        <v>282</v>
      </c>
      <c r="D21" s="848" t="s">
        <v>193</v>
      </c>
      <c r="E21" s="863" t="s">
        <v>300</v>
      </c>
      <c r="F21" s="864"/>
      <c r="G21" s="104">
        <v>100</v>
      </c>
      <c r="H21" s="102">
        <v>50</v>
      </c>
      <c r="I21" s="102">
        <v>2</v>
      </c>
      <c r="J21" s="105"/>
      <c r="K21" s="105"/>
      <c r="L21" s="867"/>
      <c r="M21" s="142">
        <f t="shared" si="5"/>
        <v>1</v>
      </c>
      <c r="N21" s="105"/>
      <c r="O21" s="102"/>
      <c r="P21" s="868"/>
      <c r="Q21" s="101">
        <v>0.2</v>
      </c>
      <c r="R21" s="143">
        <f t="shared" si="0"/>
        <v>0.05</v>
      </c>
      <c r="S21" s="143">
        <f t="shared" si="1"/>
        <v>0.05</v>
      </c>
      <c r="T21" s="143">
        <f t="shared" si="2"/>
        <v>0.08</v>
      </c>
      <c r="U21" s="861"/>
      <c r="V21" s="136">
        <f t="shared" si="3"/>
        <v>21878.349788154861</v>
      </c>
      <c r="W21" s="364">
        <f t="shared" si="8"/>
        <v>21878</v>
      </c>
    </row>
    <row r="22" spans="2:23" s="138" customFormat="1" x14ac:dyDescent="0.35">
      <c r="B22" s="847" t="s">
        <v>281</v>
      </c>
      <c r="C22" s="847" t="s">
        <v>282</v>
      </c>
      <c r="D22" s="848" t="s">
        <v>193</v>
      </c>
      <c r="E22" s="863" t="s">
        <v>302</v>
      </c>
      <c r="F22" s="864"/>
      <c r="G22" s="104">
        <v>100</v>
      </c>
      <c r="H22" s="102">
        <v>50</v>
      </c>
      <c r="I22" s="102">
        <v>2</v>
      </c>
      <c r="J22" s="105"/>
      <c r="K22" s="105"/>
      <c r="L22" s="867"/>
      <c r="M22" s="142">
        <f t="shared" si="5"/>
        <v>1</v>
      </c>
      <c r="N22" s="105"/>
      <c r="O22" s="102"/>
      <c r="P22" s="868"/>
      <c r="Q22" s="101">
        <v>0.3</v>
      </c>
      <c r="R22" s="143">
        <f t="shared" si="0"/>
        <v>0.05</v>
      </c>
      <c r="S22" s="143">
        <f t="shared" si="1"/>
        <v>0.05</v>
      </c>
      <c r="T22" s="143">
        <f t="shared" si="2"/>
        <v>0.08</v>
      </c>
      <c r="U22" s="861"/>
      <c r="V22" s="136">
        <f t="shared" si="3"/>
        <v>23463.737453963186</v>
      </c>
      <c r="W22" s="364">
        <f t="shared" si="8"/>
        <v>23464</v>
      </c>
    </row>
    <row r="23" spans="2:23" s="138" customFormat="1" x14ac:dyDescent="0.35">
      <c r="B23" s="847" t="s">
        <v>281</v>
      </c>
      <c r="C23" s="847" t="s">
        <v>282</v>
      </c>
      <c r="D23" s="848" t="s">
        <v>193</v>
      </c>
      <c r="E23" s="863" t="s">
        <v>304</v>
      </c>
      <c r="F23" s="864"/>
      <c r="G23" s="104">
        <v>100</v>
      </c>
      <c r="H23" s="102">
        <v>50</v>
      </c>
      <c r="I23" s="102">
        <v>2</v>
      </c>
      <c r="J23" s="105"/>
      <c r="K23" s="105"/>
      <c r="L23" s="867"/>
      <c r="M23" s="142">
        <f t="shared" si="5"/>
        <v>1</v>
      </c>
      <c r="N23" s="105"/>
      <c r="O23" s="102"/>
      <c r="P23" s="868"/>
      <c r="Q23" s="101">
        <v>0.1</v>
      </c>
      <c r="R23" s="143">
        <f t="shared" si="0"/>
        <v>0.05</v>
      </c>
      <c r="S23" s="143">
        <f t="shared" si="1"/>
        <v>0.05</v>
      </c>
      <c r="T23" s="143">
        <f t="shared" si="2"/>
        <v>0.08</v>
      </c>
      <c r="U23" s="861"/>
      <c r="V23" s="136">
        <f t="shared" si="3"/>
        <v>20292.962122346536</v>
      </c>
      <c r="W23" s="364">
        <f t="shared" si="7"/>
        <v>20293</v>
      </c>
    </row>
    <row r="24" spans="2:23" s="138" customFormat="1" x14ac:dyDescent="0.35">
      <c r="B24" s="847" t="s">
        <v>281</v>
      </c>
      <c r="C24" s="847" t="s">
        <v>282</v>
      </c>
      <c r="D24" s="848" t="s">
        <v>193</v>
      </c>
      <c r="E24" s="863" t="s">
        <v>306</v>
      </c>
      <c r="F24" s="864"/>
      <c r="G24" s="104">
        <v>100</v>
      </c>
      <c r="H24" s="102">
        <v>50</v>
      </c>
      <c r="I24" s="102">
        <v>2</v>
      </c>
      <c r="J24" s="105"/>
      <c r="K24" s="105"/>
      <c r="L24" s="867"/>
      <c r="M24" s="142">
        <f t="shared" si="5"/>
        <v>1</v>
      </c>
      <c r="N24" s="105"/>
      <c r="O24" s="102"/>
      <c r="P24" s="868"/>
      <c r="Q24" s="101">
        <v>0.2</v>
      </c>
      <c r="R24" s="143">
        <f t="shared" si="0"/>
        <v>0.05</v>
      </c>
      <c r="S24" s="143">
        <f t="shared" si="1"/>
        <v>0.05</v>
      </c>
      <c r="T24" s="143">
        <f t="shared" si="2"/>
        <v>0.08</v>
      </c>
      <c r="U24" s="861"/>
      <c r="V24" s="136">
        <f t="shared" si="3"/>
        <v>21878.349788154861</v>
      </c>
      <c r="W24" s="364">
        <f t="shared" si="7"/>
        <v>21878</v>
      </c>
    </row>
    <row r="25" spans="2:23" s="138" customFormat="1" x14ac:dyDescent="0.35">
      <c r="B25" s="847" t="s">
        <v>281</v>
      </c>
      <c r="C25" s="847" t="s">
        <v>282</v>
      </c>
      <c r="D25" s="848" t="s">
        <v>193</v>
      </c>
      <c r="E25" s="863" t="s">
        <v>308</v>
      </c>
      <c r="F25" s="864"/>
      <c r="G25" s="104">
        <v>100</v>
      </c>
      <c r="H25" s="102">
        <v>50</v>
      </c>
      <c r="I25" s="102">
        <v>2</v>
      </c>
      <c r="J25" s="105"/>
      <c r="K25" s="105"/>
      <c r="L25" s="867"/>
      <c r="M25" s="142">
        <f t="shared" si="5"/>
        <v>1</v>
      </c>
      <c r="N25" s="105"/>
      <c r="O25" s="102"/>
      <c r="P25" s="868"/>
      <c r="Q25" s="101">
        <v>0.3</v>
      </c>
      <c r="R25" s="143">
        <f t="shared" si="0"/>
        <v>0.05</v>
      </c>
      <c r="S25" s="143">
        <f t="shared" si="1"/>
        <v>0.05</v>
      </c>
      <c r="T25" s="143">
        <f t="shared" si="2"/>
        <v>0.08</v>
      </c>
      <c r="U25" s="861"/>
      <c r="V25" s="136">
        <f t="shared" si="3"/>
        <v>23463.737453963186</v>
      </c>
      <c r="W25" s="364">
        <f t="shared" si="7"/>
        <v>23464</v>
      </c>
    </row>
    <row r="26" spans="2:23" s="138" customFormat="1" x14ac:dyDescent="0.35">
      <c r="B26" s="847" t="s">
        <v>281</v>
      </c>
      <c r="C26" s="847" t="s">
        <v>282</v>
      </c>
      <c r="D26" s="848" t="s">
        <v>193</v>
      </c>
      <c r="E26" s="863" t="s">
        <v>310</v>
      </c>
      <c r="F26" s="864"/>
      <c r="G26" s="104">
        <v>100</v>
      </c>
      <c r="H26" s="102">
        <v>50</v>
      </c>
      <c r="I26" s="102">
        <v>2</v>
      </c>
      <c r="J26" s="105"/>
      <c r="K26" s="105"/>
      <c r="L26" s="867"/>
      <c r="M26" s="142">
        <f t="shared" si="5"/>
        <v>1</v>
      </c>
      <c r="N26" s="105"/>
      <c r="O26" s="102"/>
      <c r="P26" s="868"/>
      <c r="Q26" s="101">
        <v>0.1</v>
      </c>
      <c r="R26" s="143">
        <f t="shared" si="0"/>
        <v>0.05</v>
      </c>
      <c r="S26" s="143">
        <f t="shared" si="1"/>
        <v>0.05</v>
      </c>
      <c r="T26" s="143">
        <f t="shared" si="2"/>
        <v>0.08</v>
      </c>
      <c r="U26" s="861"/>
      <c r="V26" s="136">
        <f t="shared" si="3"/>
        <v>20292.962122346536</v>
      </c>
      <c r="W26" s="364">
        <f t="shared" si="7"/>
        <v>20293</v>
      </c>
    </row>
    <row r="27" spans="2:23" s="138" customFormat="1" x14ac:dyDescent="0.35">
      <c r="B27" s="847" t="s">
        <v>281</v>
      </c>
      <c r="C27" s="847" t="s">
        <v>282</v>
      </c>
      <c r="D27" s="848" t="s">
        <v>193</v>
      </c>
      <c r="E27" s="863" t="s">
        <v>312</v>
      </c>
      <c r="F27" s="864"/>
      <c r="G27" s="104">
        <v>100</v>
      </c>
      <c r="H27" s="102">
        <v>50</v>
      </c>
      <c r="I27" s="102">
        <v>2</v>
      </c>
      <c r="J27" s="105"/>
      <c r="K27" s="105"/>
      <c r="L27" s="867"/>
      <c r="M27" s="142">
        <f t="shared" si="5"/>
        <v>1</v>
      </c>
      <c r="N27" s="105"/>
      <c r="O27" s="102"/>
      <c r="P27" s="868"/>
      <c r="Q27" s="101">
        <v>0.2</v>
      </c>
      <c r="R27" s="143">
        <f t="shared" si="0"/>
        <v>0.05</v>
      </c>
      <c r="S27" s="143">
        <f t="shared" si="1"/>
        <v>0.05</v>
      </c>
      <c r="T27" s="143">
        <f t="shared" si="2"/>
        <v>0.08</v>
      </c>
      <c r="U27" s="861"/>
      <c r="V27" s="136">
        <f t="shared" si="3"/>
        <v>21878.349788154861</v>
      </c>
      <c r="W27" s="364">
        <f t="shared" si="7"/>
        <v>21878</v>
      </c>
    </row>
    <row r="28" spans="2:23" s="138" customFormat="1" x14ac:dyDescent="0.35">
      <c r="B28" s="847" t="s">
        <v>281</v>
      </c>
      <c r="C28" s="847" t="s">
        <v>282</v>
      </c>
      <c r="D28" s="848" t="s">
        <v>193</v>
      </c>
      <c r="E28" s="863" t="s">
        <v>314</v>
      </c>
      <c r="F28" s="864"/>
      <c r="G28" s="104">
        <v>100</v>
      </c>
      <c r="H28" s="102">
        <v>50</v>
      </c>
      <c r="I28" s="102">
        <v>2</v>
      </c>
      <c r="J28" s="105"/>
      <c r="K28" s="105"/>
      <c r="L28" s="867"/>
      <c r="M28" s="142">
        <f t="shared" si="5"/>
        <v>1</v>
      </c>
      <c r="N28" s="105"/>
      <c r="O28" s="102"/>
      <c r="P28" s="868"/>
      <c r="Q28" s="101">
        <v>0.3</v>
      </c>
      <c r="R28" s="143">
        <f t="shared" si="0"/>
        <v>0.05</v>
      </c>
      <c r="S28" s="143">
        <f t="shared" si="1"/>
        <v>0.05</v>
      </c>
      <c r="T28" s="143">
        <f t="shared" si="2"/>
        <v>0.08</v>
      </c>
      <c r="U28" s="861"/>
      <c r="V28" s="136">
        <f t="shared" si="3"/>
        <v>23463.737453963186</v>
      </c>
      <c r="W28" s="364">
        <f t="shared" si="4"/>
        <v>23464</v>
      </c>
    </row>
    <row r="29" spans="2:23" s="138" customFormat="1" x14ac:dyDescent="0.35">
      <c r="B29" s="847" t="s">
        <v>281</v>
      </c>
      <c r="C29" s="847" t="s">
        <v>282</v>
      </c>
      <c r="D29" s="859" t="s">
        <v>315</v>
      </c>
      <c r="E29" s="863" t="s">
        <v>316</v>
      </c>
      <c r="F29" s="864"/>
      <c r="G29" s="104">
        <v>100</v>
      </c>
      <c r="H29" s="102">
        <v>50</v>
      </c>
      <c r="I29" s="102">
        <v>2</v>
      </c>
      <c r="J29" s="105"/>
      <c r="K29" s="105"/>
      <c r="L29" s="867"/>
      <c r="M29" s="142">
        <f t="shared" si="5"/>
        <v>1</v>
      </c>
      <c r="N29" s="105"/>
      <c r="O29" s="102"/>
      <c r="P29" s="868"/>
      <c r="Q29" s="101">
        <v>0.1</v>
      </c>
      <c r="R29" s="143">
        <f t="shared" si="0"/>
        <v>0.05</v>
      </c>
      <c r="S29" s="143">
        <f t="shared" si="1"/>
        <v>0.05</v>
      </c>
      <c r="T29" s="143">
        <f t="shared" si="2"/>
        <v>0.08</v>
      </c>
      <c r="U29" s="861"/>
      <c r="V29" s="136">
        <f t="shared" si="3"/>
        <v>20292.962122346536</v>
      </c>
      <c r="W29" s="364">
        <f t="shared" si="4"/>
        <v>20293</v>
      </c>
    </row>
    <row r="30" spans="2:23" s="872" customFormat="1" x14ac:dyDescent="0.35">
      <c r="B30" s="850" t="s">
        <v>281</v>
      </c>
      <c r="C30" s="850" t="s">
        <v>282</v>
      </c>
      <c r="D30" s="857" t="s">
        <v>278</v>
      </c>
      <c r="E30" s="865" t="s">
        <v>317</v>
      </c>
      <c r="F30" s="866"/>
      <c r="G30" s="851">
        <v>100</v>
      </c>
      <c r="H30" s="852">
        <v>50</v>
      </c>
      <c r="I30" s="852">
        <v>2</v>
      </c>
      <c r="J30" s="853"/>
      <c r="K30" s="853"/>
      <c r="L30" s="869"/>
      <c r="M30" s="145">
        <f t="shared" si="5"/>
        <v>1</v>
      </c>
      <c r="N30" s="106"/>
      <c r="O30" s="103"/>
      <c r="P30" s="870"/>
      <c r="Q30" s="854">
        <v>0.2</v>
      </c>
      <c r="R30" s="146">
        <f t="shared" si="0"/>
        <v>0.05</v>
      </c>
      <c r="S30" s="146">
        <f t="shared" si="1"/>
        <v>0.05</v>
      </c>
      <c r="T30" s="146">
        <f t="shared" si="2"/>
        <v>0.08</v>
      </c>
      <c r="U30" s="871"/>
      <c r="V30" s="855">
        <f t="shared" si="3"/>
        <v>21878.349788154861</v>
      </c>
      <c r="W30" s="858">
        <f t="shared" si="4"/>
        <v>21878</v>
      </c>
    </row>
    <row r="31" spans="2:23" x14ac:dyDescent="0.35">
      <c r="B31" s="199"/>
      <c r="C31" s="200" t="s">
        <v>149</v>
      </c>
      <c r="D31" s="200"/>
      <c r="E31" s="201"/>
      <c r="F31" s="202"/>
      <c r="G31" s="199" t="s">
        <v>170</v>
      </c>
      <c r="H31" s="223"/>
      <c r="I31" s="200"/>
      <c r="J31" s="200"/>
      <c r="K31" s="201"/>
      <c r="L31" s="203"/>
      <c r="M31" s="199"/>
      <c r="N31" s="200"/>
      <c r="O31" s="201"/>
      <c r="P31" s="204"/>
      <c r="Q31" s="224" t="s">
        <v>149</v>
      </c>
      <c r="R31" s="200"/>
      <c r="S31" s="200"/>
      <c r="T31" s="201"/>
      <c r="U31" s="205"/>
      <c r="V31" s="413"/>
      <c r="W31" s="225"/>
    </row>
    <row r="32" spans="2:23" ht="17" x14ac:dyDescent="0.35">
      <c r="B32" s="349"/>
      <c r="C32" s="350"/>
      <c r="D32" s="350"/>
      <c r="E32" s="351" t="s">
        <v>136</v>
      </c>
      <c r="F32" s="206"/>
      <c r="G32" s="352">
        <f>IF(SUM(G13:G31)=0,"",SUM(G13:G31))</f>
        <v>1700</v>
      </c>
      <c r="H32" s="353">
        <f>IF(SUM(H13:H31)=0,"",SUM(H13:H31))</f>
        <v>850</v>
      </c>
      <c r="I32" s="353">
        <f>IF(SUM(I13:I31)=0,"",SUM(I13:I31))</f>
        <v>34</v>
      </c>
      <c r="J32" s="353" t="str">
        <f>IF(SUM(J13:J31)=0,"",SUM(J13:J31))</f>
        <v/>
      </c>
      <c r="K32" s="354" t="str">
        <f>IF(SUM(K13:K31)=0,"",SUM(K13:K31))</f>
        <v/>
      </c>
      <c r="L32" s="207"/>
      <c r="M32" s="352">
        <f>IF(SUM(M13:M31)=0,"",SUM(M13:M31))</f>
        <v>17</v>
      </c>
      <c r="N32" s="353" t="str">
        <f>IF(SUM(N13:N31)=0,"",SUM(N13:N31))</f>
        <v/>
      </c>
      <c r="O32" s="354" t="str">
        <f>IF(SUM(O13:O31)=0,"",SUM(O13:O31))</f>
        <v/>
      </c>
      <c r="P32" s="208"/>
      <c r="Q32" s="355"/>
      <c r="R32" s="356"/>
      <c r="S32" s="356"/>
      <c r="T32" s="357"/>
      <c r="U32" s="208"/>
      <c r="V32" s="209">
        <f>IF(SUM(V13:V31)=0,"",SUM(V13:V31))</f>
        <v>370346.55873282434</v>
      </c>
      <c r="W32" s="358">
        <f>ROUND(V32,0)</f>
        <v>370347</v>
      </c>
    </row>
    <row r="34" spans="2:24" x14ac:dyDescent="0.35">
      <c r="B34" s="210" t="s">
        <v>127</v>
      </c>
      <c r="C34" s="210"/>
      <c r="D34" s="210"/>
      <c r="E34" s="210"/>
      <c r="F34" s="210"/>
      <c r="G34" s="210"/>
      <c r="H34" s="210"/>
      <c r="I34" s="210"/>
      <c r="J34" s="210"/>
      <c r="K34" s="210"/>
      <c r="M34" s="211" t="s">
        <v>128</v>
      </c>
      <c r="N34" s="226" t="s">
        <v>242</v>
      </c>
      <c r="O34" s="227"/>
      <c r="P34" s="228"/>
      <c r="Q34" s="411" t="s">
        <v>251</v>
      </c>
      <c r="R34" s="410"/>
      <c r="S34" s="410"/>
      <c r="T34" s="410"/>
      <c r="U34" s="410"/>
      <c r="V34" s="410"/>
      <c r="W34" s="410"/>
      <c r="X34" s="412"/>
    </row>
    <row r="35" spans="2:24" x14ac:dyDescent="0.35">
      <c r="B35" s="889" t="s">
        <v>189</v>
      </c>
      <c r="C35" s="889"/>
      <c r="D35" s="889"/>
      <c r="E35" s="889"/>
      <c r="F35" s="889"/>
      <c r="G35" s="889"/>
      <c r="H35" s="889"/>
      <c r="I35" s="889"/>
      <c r="J35" s="889"/>
      <c r="K35" s="889"/>
      <c r="M35" s="213" t="s">
        <v>107</v>
      </c>
      <c r="N35" s="214" t="s">
        <v>243</v>
      </c>
      <c r="O35" s="229"/>
      <c r="P35" s="228"/>
    </row>
    <row r="36" spans="2:24" x14ac:dyDescent="0.35">
      <c r="B36" s="889"/>
      <c r="C36" s="889"/>
      <c r="D36" s="889"/>
      <c r="E36" s="889"/>
      <c r="F36" s="889"/>
      <c r="G36" s="889"/>
      <c r="H36" s="889"/>
      <c r="I36" s="889"/>
      <c r="J36" s="889"/>
      <c r="K36" s="889"/>
      <c r="M36" s="213" t="s">
        <v>95</v>
      </c>
      <c r="N36" s="214" t="s">
        <v>244</v>
      </c>
      <c r="O36" s="229"/>
      <c r="P36" s="228"/>
    </row>
    <row r="37" spans="2:24" x14ac:dyDescent="0.35">
      <c r="B37" s="889"/>
      <c r="C37" s="889"/>
      <c r="D37" s="889"/>
      <c r="E37" s="889"/>
      <c r="F37" s="889"/>
      <c r="G37" s="889"/>
      <c r="H37" s="889"/>
      <c r="I37" s="889"/>
      <c r="J37" s="889"/>
      <c r="K37" s="889"/>
      <c r="M37" s="213" t="s">
        <v>101</v>
      </c>
      <c r="N37" s="214" t="s">
        <v>245</v>
      </c>
      <c r="O37" s="229"/>
      <c r="P37" s="228"/>
    </row>
    <row r="38" spans="2:24" x14ac:dyDescent="0.35">
      <c r="B38" s="889"/>
      <c r="C38" s="889"/>
      <c r="D38" s="889"/>
      <c r="E38" s="889"/>
      <c r="F38" s="889"/>
      <c r="G38" s="889"/>
      <c r="H38" s="889"/>
      <c r="I38" s="889"/>
      <c r="J38" s="889"/>
      <c r="K38" s="889"/>
      <c r="M38" s="213" t="s">
        <v>137</v>
      </c>
      <c r="N38" s="214" t="s">
        <v>246</v>
      </c>
      <c r="O38" s="229"/>
      <c r="P38" s="228"/>
    </row>
    <row r="39" spans="2:24" x14ac:dyDescent="0.35">
      <c r="B39" s="889"/>
      <c r="C39" s="889"/>
      <c r="D39" s="889"/>
      <c r="E39" s="889"/>
      <c r="F39" s="889"/>
      <c r="G39" s="889"/>
      <c r="H39" s="889"/>
      <c r="I39" s="889"/>
      <c r="J39" s="889"/>
      <c r="K39" s="889"/>
      <c r="M39" s="213" t="s">
        <v>104</v>
      </c>
      <c r="N39" s="214" t="s">
        <v>366</v>
      </c>
      <c r="O39" s="229"/>
      <c r="P39" s="228"/>
    </row>
    <row r="40" spans="2:24" x14ac:dyDescent="0.35">
      <c r="B40" s="889"/>
      <c r="C40" s="889"/>
      <c r="D40" s="889"/>
      <c r="E40" s="889"/>
      <c r="F40" s="889"/>
      <c r="G40" s="889"/>
      <c r="H40" s="889"/>
      <c r="I40" s="889"/>
      <c r="J40" s="889"/>
      <c r="K40" s="889"/>
      <c r="M40" s="213" t="s">
        <v>118</v>
      </c>
      <c r="N40" s="214" t="s">
        <v>247</v>
      </c>
      <c r="O40" s="229"/>
      <c r="P40" s="228"/>
    </row>
    <row r="41" spans="2:24" x14ac:dyDescent="0.35">
      <c r="B41" s="889"/>
      <c r="C41" s="889"/>
      <c r="D41" s="889"/>
      <c r="E41" s="889"/>
      <c r="F41" s="889"/>
      <c r="G41" s="889"/>
      <c r="H41" s="889"/>
      <c r="I41" s="889"/>
      <c r="J41" s="889"/>
      <c r="K41" s="889"/>
      <c r="M41" s="213" t="s">
        <v>112</v>
      </c>
      <c r="N41" s="214" t="s">
        <v>248</v>
      </c>
      <c r="O41" s="229"/>
      <c r="P41" s="228"/>
    </row>
    <row r="44" spans="2:24" hidden="1" x14ac:dyDescent="0.35">
      <c r="B44" s="904"/>
      <c r="C44" s="907"/>
      <c r="D44" s="904"/>
      <c r="E44" s="904"/>
      <c r="F44" s="904"/>
      <c r="G44" s="904"/>
      <c r="H44" s="904"/>
      <c r="I44" s="908"/>
      <c r="J44" s="908"/>
      <c r="K44" s="908"/>
      <c r="L44" s="228"/>
      <c r="M44" s="228"/>
      <c r="N44" s="232"/>
      <c r="O44" s="232"/>
      <c r="P44" s="228"/>
      <c r="Q44" s="228"/>
      <c r="S44" s="360" t="s">
        <v>202</v>
      </c>
      <c r="T44" s="212"/>
    </row>
    <row r="45" spans="2:24" hidden="1" x14ac:dyDescent="0.35">
      <c r="B45" s="904"/>
      <c r="C45" s="904"/>
      <c r="D45" s="905"/>
      <c r="E45" s="231"/>
      <c r="F45" s="231"/>
      <c r="G45" s="906"/>
      <c r="H45" s="906"/>
      <c r="I45" s="906"/>
      <c r="J45" s="906"/>
      <c r="K45" s="909"/>
      <c r="L45" s="228"/>
      <c r="M45" s="228"/>
      <c r="N45" s="232"/>
      <c r="O45" s="232"/>
      <c r="P45" s="228"/>
      <c r="Q45" s="228"/>
      <c r="S45" s="213" t="s">
        <v>203</v>
      </c>
      <c r="T45" s="359">
        <v>0.05</v>
      </c>
    </row>
    <row r="46" spans="2:24" hidden="1" x14ac:dyDescent="0.35">
      <c r="B46" s="910"/>
      <c r="C46" s="232"/>
      <c r="D46" s="228"/>
      <c r="E46" s="231"/>
      <c r="F46" s="231"/>
      <c r="G46" s="230"/>
      <c r="H46" s="230"/>
      <c r="I46" s="230"/>
      <c r="J46" s="230"/>
      <c r="K46" s="911"/>
      <c r="L46" s="231"/>
      <c r="M46" s="231"/>
      <c r="N46" s="232"/>
      <c r="O46" s="228"/>
      <c r="P46" s="228"/>
      <c r="Q46" s="228"/>
      <c r="S46" s="213" t="s">
        <v>204</v>
      </c>
      <c r="T46" s="359">
        <v>0.05</v>
      </c>
    </row>
    <row r="47" spans="2:24" hidden="1" x14ac:dyDescent="0.35">
      <c r="B47" s="910"/>
      <c r="C47" s="232"/>
      <c r="D47" s="228"/>
      <c r="E47" s="231"/>
      <c r="F47" s="231"/>
      <c r="G47" s="230"/>
      <c r="H47" s="230"/>
      <c r="I47" s="230"/>
      <c r="J47" s="230"/>
      <c r="K47" s="911"/>
      <c r="L47" s="231"/>
      <c r="M47" s="231"/>
      <c r="N47" s="232"/>
      <c r="O47" s="228"/>
      <c r="P47" s="228"/>
      <c r="Q47" s="228"/>
      <c r="S47" s="213" t="s">
        <v>205</v>
      </c>
      <c r="T47" s="359">
        <v>0.08</v>
      </c>
    </row>
    <row r="48" spans="2:24" hidden="1" x14ac:dyDescent="0.35">
      <c r="B48" s="910"/>
      <c r="C48" s="232"/>
      <c r="D48" s="228"/>
      <c r="E48" s="231"/>
      <c r="F48" s="231"/>
      <c r="G48" s="230"/>
      <c r="H48" s="230"/>
      <c r="I48" s="230"/>
      <c r="J48" s="230"/>
      <c r="K48" s="232"/>
      <c r="L48" s="232"/>
      <c r="M48" s="232"/>
      <c r="N48" s="232"/>
      <c r="O48" s="228"/>
      <c r="P48" s="228"/>
      <c r="Q48" s="228"/>
      <c r="S48" s="363" t="s">
        <v>163</v>
      </c>
      <c r="T48" s="363">
        <v>1</v>
      </c>
    </row>
    <row r="49" spans="2:20" x14ac:dyDescent="0.35">
      <c r="B49" s="912"/>
      <c r="C49" s="232"/>
      <c r="D49" s="228"/>
      <c r="E49" s="231"/>
      <c r="F49" s="231"/>
      <c r="G49" s="230"/>
      <c r="H49" s="231"/>
      <c r="I49" s="230"/>
      <c r="J49" s="231"/>
      <c r="K49" s="232"/>
      <c r="L49" s="232"/>
      <c r="M49" s="232"/>
      <c r="N49" s="232"/>
      <c r="O49" s="228"/>
      <c r="P49" s="228"/>
      <c r="Q49" s="228"/>
      <c r="S49" s="228"/>
      <c r="T49" s="862"/>
    </row>
    <row r="50" spans="2:20" x14ac:dyDescent="0.35">
      <c r="B50" s="232"/>
      <c r="C50" s="904"/>
      <c r="D50" s="905"/>
      <c r="E50" s="231"/>
      <c r="F50" s="231"/>
      <c r="G50" s="230"/>
      <c r="H50" s="231"/>
      <c r="I50" s="230"/>
      <c r="J50" s="231"/>
      <c r="K50" s="232"/>
      <c r="L50" s="232"/>
      <c r="M50" s="232"/>
      <c r="N50" s="232"/>
      <c r="O50" s="228"/>
      <c r="P50" s="228"/>
      <c r="Q50" s="228"/>
      <c r="S50" s="228"/>
      <c r="T50" s="862"/>
    </row>
    <row r="51" spans="2:20" x14ac:dyDescent="0.35">
      <c r="B51" s="904"/>
      <c r="C51" s="904"/>
      <c r="D51" s="905"/>
      <c r="E51" s="231"/>
      <c r="F51" s="231"/>
      <c r="G51" s="230"/>
      <c r="H51" s="231"/>
      <c r="I51" s="230"/>
      <c r="J51" s="231"/>
      <c r="K51" s="232"/>
      <c r="L51" s="232"/>
      <c r="M51" s="232"/>
      <c r="N51" s="232"/>
      <c r="O51" s="228"/>
      <c r="P51" s="228"/>
      <c r="Q51" s="228"/>
      <c r="S51" s="228"/>
      <c r="T51" s="862"/>
    </row>
    <row r="52" spans="2:20" x14ac:dyDescent="0.35">
      <c r="B52" s="912"/>
      <c r="C52" s="232"/>
      <c r="D52" s="228"/>
      <c r="E52" s="231"/>
      <c r="F52" s="231"/>
      <c r="G52" s="230"/>
      <c r="H52" s="231"/>
      <c r="I52" s="230"/>
      <c r="J52" s="231"/>
      <c r="K52" s="232"/>
      <c r="L52" s="232"/>
      <c r="M52" s="232"/>
      <c r="N52" s="232"/>
      <c r="O52" s="228"/>
      <c r="P52" s="228"/>
      <c r="Q52" s="228"/>
    </row>
    <row r="53" spans="2:20" x14ac:dyDescent="0.35">
      <c r="B53" s="912"/>
      <c r="C53" s="232"/>
      <c r="D53" s="228"/>
      <c r="E53" s="231"/>
      <c r="F53" s="231"/>
      <c r="G53" s="230"/>
      <c r="H53" s="231"/>
      <c r="I53" s="230"/>
      <c r="J53" s="230"/>
      <c r="K53" s="232"/>
      <c r="L53" s="232"/>
      <c r="M53" s="232"/>
      <c r="N53" s="232"/>
      <c r="O53" s="228"/>
      <c r="P53" s="228"/>
      <c r="Q53" s="228"/>
    </row>
    <row r="54" spans="2:20" x14ac:dyDescent="0.35">
      <c r="B54" s="912"/>
      <c r="C54" s="232"/>
      <c r="D54" s="228"/>
      <c r="E54" s="231"/>
      <c r="F54" s="231"/>
      <c r="G54" s="230"/>
      <c r="H54" s="230"/>
      <c r="I54" s="231"/>
      <c r="J54" s="232"/>
      <c r="K54" s="232"/>
      <c r="L54" s="232"/>
      <c r="M54" s="232"/>
      <c r="N54" s="232"/>
      <c r="O54" s="228"/>
      <c r="P54" s="228"/>
      <c r="Q54" s="228"/>
    </row>
    <row r="55" spans="2:20" x14ac:dyDescent="0.35">
      <c r="B55" s="912"/>
      <c r="C55" s="232"/>
      <c r="D55" s="228"/>
      <c r="E55" s="231"/>
      <c r="F55" s="231"/>
      <c r="G55" s="230"/>
      <c r="H55" s="230"/>
      <c r="I55" s="231"/>
      <c r="J55" s="231"/>
      <c r="K55" s="232"/>
      <c r="L55" s="232"/>
      <c r="M55" s="232"/>
      <c r="N55" s="232"/>
      <c r="O55" s="228"/>
      <c r="P55" s="228"/>
      <c r="Q55" s="228"/>
    </row>
    <row r="56" spans="2:20" x14ac:dyDescent="0.35">
      <c r="B56" s="912"/>
      <c r="C56" s="232"/>
      <c r="D56" s="228"/>
      <c r="E56" s="231"/>
      <c r="F56" s="231"/>
      <c r="G56" s="230"/>
      <c r="H56" s="230"/>
      <c r="I56" s="231"/>
      <c r="J56" s="231"/>
      <c r="K56" s="232"/>
      <c r="L56" s="232"/>
      <c r="M56" s="232"/>
      <c r="N56" s="232"/>
      <c r="O56" s="228"/>
      <c r="P56" s="228"/>
      <c r="Q56" s="228"/>
    </row>
    <row r="57" spans="2:20" x14ac:dyDescent="0.35">
      <c r="B57" s="912"/>
      <c r="C57" s="232"/>
      <c r="D57" s="228"/>
      <c r="E57" s="231"/>
      <c r="F57" s="231"/>
      <c r="G57" s="230"/>
      <c r="H57" s="230"/>
      <c r="I57" s="231"/>
      <c r="J57" s="231"/>
      <c r="K57" s="232"/>
      <c r="L57" s="232"/>
      <c r="M57" s="232"/>
      <c r="N57" s="232"/>
      <c r="O57" s="228"/>
      <c r="P57" s="228"/>
      <c r="Q57" s="228"/>
    </row>
    <row r="58" spans="2:20" x14ac:dyDescent="0.35">
      <c r="B58" s="912"/>
      <c r="C58" s="232"/>
      <c r="D58" s="228"/>
      <c r="E58" s="231"/>
      <c r="F58" s="231"/>
      <c r="G58" s="230"/>
      <c r="H58" s="230"/>
      <c r="I58" s="231"/>
      <c r="J58" s="231"/>
      <c r="K58" s="232"/>
      <c r="L58" s="232"/>
      <c r="M58" s="232"/>
      <c r="N58" s="232"/>
      <c r="O58" s="228"/>
      <c r="P58" s="228"/>
      <c r="Q58" s="228"/>
    </row>
    <row r="59" spans="2:20" x14ac:dyDescent="0.35">
      <c r="B59" s="912"/>
      <c r="C59" s="232"/>
      <c r="D59" s="228"/>
      <c r="E59" s="231"/>
      <c r="F59" s="231"/>
      <c r="G59" s="230"/>
      <c r="H59" s="230"/>
      <c r="I59" s="231"/>
      <c r="J59" s="231"/>
      <c r="K59" s="232"/>
      <c r="L59" s="232"/>
      <c r="M59" s="232"/>
      <c r="N59" s="232"/>
      <c r="O59" s="228"/>
      <c r="P59" s="228"/>
      <c r="Q59" s="228"/>
    </row>
    <row r="60" spans="2:20" x14ac:dyDescent="0.35">
      <c r="B60" s="912"/>
      <c r="C60" s="232"/>
      <c r="D60" s="228"/>
      <c r="E60" s="231"/>
      <c r="F60" s="231"/>
      <c r="G60" s="230"/>
      <c r="H60" s="230"/>
      <c r="I60" s="231"/>
      <c r="J60" s="231"/>
      <c r="K60" s="232"/>
      <c r="L60" s="232"/>
      <c r="M60" s="232"/>
      <c r="N60" s="232"/>
      <c r="O60" s="228"/>
      <c r="P60" s="228"/>
      <c r="Q60" s="228"/>
    </row>
    <row r="61" spans="2:20" x14ac:dyDescent="0.35">
      <c r="B61" s="912"/>
      <c r="C61" s="232"/>
      <c r="D61" s="228"/>
      <c r="E61" s="231"/>
      <c r="F61" s="231"/>
      <c r="G61" s="230"/>
      <c r="H61" s="230"/>
      <c r="I61" s="231"/>
      <c r="J61" s="231"/>
      <c r="K61" s="232"/>
      <c r="L61" s="232"/>
      <c r="M61" s="232"/>
      <c r="N61" s="232"/>
      <c r="O61" s="228"/>
      <c r="P61" s="228"/>
      <c r="Q61" s="228"/>
    </row>
    <row r="62" spans="2:20" x14ac:dyDescent="0.35">
      <c r="B62" s="912"/>
      <c r="C62" s="232"/>
      <c r="D62" s="228"/>
      <c r="E62" s="231"/>
      <c r="F62" s="231"/>
      <c r="G62" s="230"/>
      <c r="H62" s="230"/>
      <c r="I62" s="231"/>
      <c r="J62" s="231"/>
      <c r="K62" s="232"/>
      <c r="L62" s="232"/>
      <c r="M62" s="232"/>
      <c r="N62" s="232"/>
      <c r="O62" s="228"/>
      <c r="P62" s="228"/>
      <c r="Q62" s="228"/>
    </row>
    <row r="63" spans="2:20" x14ac:dyDescent="0.35">
      <c r="B63" s="912"/>
      <c r="C63" s="232"/>
      <c r="D63" s="228"/>
      <c r="E63" s="231"/>
      <c r="F63" s="231"/>
      <c r="G63" s="230"/>
      <c r="H63" s="230"/>
      <c r="I63" s="231"/>
      <c r="J63" s="231"/>
      <c r="K63" s="232"/>
      <c r="L63" s="232"/>
      <c r="M63" s="232"/>
      <c r="N63" s="232"/>
      <c r="O63" s="228"/>
      <c r="P63" s="228"/>
      <c r="Q63" s="228"/>
    </row>
    <row r="64" spans="2:20" x14ac:dyDescent="0.35">
      <c r="B64" s="910"/>
      <c r="C64" s="232"/>
      <c r="D64" s="228"/>
      <c r="E64" s="231"/>
      <c r="F64" s="231"/>
      <c r="G64" s="230"/>
      <c r="H64" s="230"/>
      <c r="I64" s="231"/>
      <c r="J64" s="231"/>
      <c r="K64" s="232"/>
      <c r="L64" s="232"/>
      <c r="M64" s="232"/>
      <c r="N64" s="232"/>
      <c r="O64" s="228"/>
      <c r="P64" s="228"/>
      <c r="Q64" s="228"/>
    </row>
    <row r="65" spans="2:17" x14ac:dyDescent="0.35">
      <c r="B65" s="912"/>
      <c r="C65" s="232"/>
      <c r="D65" s="228"/>
      <c r="E65" s="231"/>
      <c r="F65" s="231"/>
      <c r="G65" s="230"/>
      <c r="H65" s="231"/>
      <c r="I65" s="230"/>
      <c r="J65" s="231"/>
      <c r="K65" s="232"/>
      <c r="L65" s="232"/>
      <c r="M65" s="232"/>
      <c r="N65" s="232"/>
      <c r="O65" s="228"/>
      <c r="P65" s="228"/>
      <c r="Q65" s="228"/>
    </row>
  </sheetData>
  <sheetProtection algorithmName="SHA-512" hashValue="dL1l3f4C/rXFzPbHrd1lx3QQbBC9xTKSNC6e1L+ytEsFgwtjGjXQPqTM2nCIquOuKLbyJUeDzyQuSVc28x3W0g==" saltValue="V+acO+OFQOPWstVtv7TifA==" spinCount="100000" sheet="1" objects="1" scenarios="1" formatColumns="0" formatRows="0" insertRows="0" deleteRows="0" selectLockedCells="1"/>
  <phoneticPr fontId="66" type="noConversion"/>
  <dataValidations count="2">
    <dataValidation type="list" allowBlank="1" showInputMessage="1" showErrorMessage="1" sqref="M11:O12 G11:K12" xr:uid="{79872A10-7DC2-46E3-9A67-B599084776B4}">
      <formula1>"CF, EA, LF, LS, TON, CY, SF"</formula1>
    </dataValidation>
    <dataValidation type="list" allowBlank="1" showInputMessage="1" showErrorMessage="1" sqref="T49:T51 Q13:Q30" xr:uid="{CD693E2A-903D-423D-9514-06DB4F468ECD}">
      <formula1>"10%,20%,30%"</formula1>
    </dataValidation>
  </dataValidations>
  <pageMargins left="0.25" right="0.25" top="0.75" bottom="0.75" header="0.3" footer="0.3"/>
  <pageSetup scale="70" orientation="landscape" r:id="rId1"/>
  <drawing r:id="rId2"/>
  <legacyDrawing r:id="rId3"/>
  <tableParts count="1">
    <tablePart r:id="rId4"/>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014A4-EA8E-4680-9C6C-314C1585BEC5}">
  <sheetPr>
    <tabColor theme="5" tint="-0.499984740745262"/>
    <pageSetUpPr fitToPage="1"/>
  </sheetPr>
  <dimension ref="A1:AK65"/>
  <sheetViews>
    <sheetView showZeros="0" zoomScale="90" zoomScaleNormal="90" workbookViewId="0">
      <pane xSplit="5" ySplit="13" topLeftCell="G14" activePane="bottomRight" state="frozenSplit"/>
      <selection pane="topRight" activeCell="M1" sqref="M1"/>
      <selection pane="bottomLeft" activeCell="A16" sqref="A16"/>
      <selection pane="bottomRight" activeCell="J37" sqref="J37"/>
    </sheetView>
  </sheetViews>
  <sheetFormatPr defaultColWidth="9.1796875" defaultRowHeight="14.5" x14ac:dyDescent="0.35"/>
  <cols>
    <col min="1" max="1" width="3.7265625" style="130" customWidth="1"/>
    <col min="2" max="2" width="13.54296875" style="130" customWidth="1"/>
    <col min="3" max="3" width="11.90625" style="130" customWidth="1"/>
    <col min="4" max="4" width="7.54296875" style="3" customWidth="1"/>
    <col min="5" max="5" width="13.54296875" style="4" customWidth="1"/>
    <col min="6" max="6" width="1.26953125" style="5" customWidth="1"/>
    <col min="7" max="8" width="9.26953125" style="5" customWidth="1"/>
    <col min="9" max="9" width="8.54296875" style="5" customWidth="1"/>
    <col min="10" max="17" width="8.54296875" style="3" customWidth="1"/>
    <col min="18" max="18" width="1.26953125" style="130" customWidth="1"/>
    <col min="19" max="26" width="8.54296875" style="3" customWidth="1"/>
    <col min="27" max="27" width="1.26953125" style="3" customWidth="1"/>
    <col min="28" max="31" width="8.54296875" style="3" customWidth="1"/>
    <col min="32" max="32" width="1.26953125" style="3" customWidth="1"/>
    <col min="33" max="34" width="11.54296875" style="3" hidden="1" customWidth="1"/>
    <col min="35" max="36" width="11.54296875" style="3" customWidth="1"/>
    <col min="37" max="37" width="11.54296875" style="130" customWidth="1"/>
    <col min="38" max="16384" width="9.1796875" style="130"/>
  </cols>
  <sheetData>
    <row r="1" spans="2:37" ht="15" thickBot="1" x14ac:dyDescent="0.4">
      <c r="AD1" s="621"/>
      <c r="AE1" s="621"/>
      <c r="AF1" s="621"/>
      <c r="AG1" s="621"/>
      <c r="AH1" s="621"/>
      <c r="AI1" s="621"/>
      <c r="AJ1" s="621"/>
      <c r="AK1" s="6"/>
    </row>
    <row r="2" spans="2:37" ht="15" customHeight="1" thickTop="1" x14ac:dyDescent="0.35">
      <c r="B2" s="622"/>
      <c r="C2" s="622"/>
      <c r="D2" s="623"/>
      <c r="E2" s="624"/>
      <c r="F2" s="624"/>
      <c r="G2" s="624"/>
      <c r="H2" s="624"/>
      <c r="I2" s="624"/>
      <c r="J2" s="624"/>
      <c r="K2" s="624"/>
      <c r="L2" s="624"/>
      <c r="M2" s="624"/>
      <c r="N2" s="624"/>
      <c r="O2" s="624"/>
      <c r="P2" s="624"/>
      <c r="Q2" s="624"/>
      <c r="R2" s="624"/>
      <c r="S2" s="624"/>
      <c r="T2" s="624"/>
      <c r="U2" s="624"/>
      <c r="V2" s="624"/>
      <c r="W2" s="624"/>
      <c r="X2" s="624"/>
      <c r="Y2" s="624"/>
      <c r="Z2" s="624"/>
      <c r="AA2" s="625"/>
      <c r="AB2" s="623"/>
      <c r="AC2" s="623"/>
    </row>
    <row r="3" spans="2:37" ht="20.149999999999999" customHeight="1" x14ac:dyDescent="0.35">
      <c r="E3" s="626"/>
      <c r="F3" s="626"/>
      <c r="G3" s="626"/>
      <c r="H3" s="626"/>
      <c r="I3" s="626"/>
      <c r="J3" s="626"/>
      <c r="K3" s="626"/>
      <c r="L3" s="76" t="s">
        <v>79</v>
      </c>
      <c r="M3" s="626"/>
      <c r="N3" s="626"/>
      <c r="O3" s="626"/>
      <c r="P3" s="626"/>
      <c r="Q3" s="626"/>
      <c r="R3" s="626"/>
      <c r="S3" s="626"/>
      <c r="T3" s="626"/>
      <c r="U3" s="626"/>
      <c r="V3" s="626"/>
      <c r="W3" s="626"/>
      <c r="X3" s="626"/>
      <c r="Y3" s="626"/>
      <c r="Z3" s="626"/>
      <c r="AA3" s="627"/>
    </row>
    <row r="4" spans="2:37" ht="20.149999999999999" customHeight="1" x14ac:dyDescent="0.35">
      <c r="E4" s="626"/>
      <c r="F4" s="626"/>
      <c r="G4" s="626"/>
      <c r="H4" s="626"/>
      <c r="I4" s="626"/>
      <c r="J4" s="626"/>
      <c r="K4" s="626"/>
      <c r="L4" s="626"/>
      <c r="M4" s="76" t="s">
        <v>275</v>
      </c>
      <c r="Q4" s="626"/>
      <c r="R4" s="626"/>
      <c r="S4" s="626"/>
      <c r="T4" s="626"/>
      <c r="U4" s="626"/>
      <c r="V4" s="626"/>
      <c r="W4" s="626"/>
      <c r="X4" s="626"/>
      <c r="Y4" s="626"/>
      <c r="Z4" s="626"/>
      <c r="AA4" s="627"/>
    </row>
    <row r="5" spans="2:37" ht="15" customHeight="1" thickBot="1" x14ac:dyDescent="0.4">
      <c r="B5" s="6"/>
      <c r="C5" s="6"/>
      <c r="D5" s="621"/>
      <c r="E5" s="628"/>
      <c r="F5" s="628"/>
      <c r="G5" s="628"/>
      <c r="H5" s="628"/>
      <c r="I5" s="628"/>
      <c r="J5" s="628"/>
      <c r="K5" s="628"/>
      <c r="L5" s="628"/>
      <c r="M5" s="628"/>
      <c r="N5" s="628"/>
      <c r="O5" s="628"/>
      <c r="P5" s="628"/>
      <c r="Q5" s="628"/>
      <c r="R5" s="628"/>
      <c r="S5" s="628"/>
      <c r="T5" s="628"/>
      <c r="U5" s="628"/>
      <c r="V5" s="628"/>
      <c r="W5" s="628"/>
      <c r="X5" s="628"/>
      <c r="Y5" s="628"/>
      <c r="Z5" s="628"/>
      <c r="AA5" s="629"/>
      <c r="AB5" s="621"/>
      <c r="AC5" s="621"/>
      <c r="AD5" s="621"/>
      <c r="AE5" s="621"/>
      <c r="AF5" s="621"/>
      <c r="AG5" s="621"/>
      <c r="AH5" s="621"/>
      <c r="AI5" s="621"/>
      <c r="AJ5" s="621"/>
      <c r="AK5" s="6"/>
    </row>
    <row r="6" spans="2:37" ht="7" customHeight="1" thickTop="1" x14ac:dyDescent="0.35">
      <c r="E6" s="630"/>
      <c r="F6" s="7"/>
      <c r="G6" s="7"/>
      <c r="H6" s="7"/>
      <c r="I6" s="7"/>
      <c r="J6" s="7"/>
      <c r="K6" s="7"/>
      <c r="L6" s="7"/>
      <c r="M6" s="7"/>
      <c r="N6" s="7"/>
    </row>
    <row r="7" spans="2:37" ht="7" customHeight="1" x14ac:dyDescent="0.35">
      <c r="E7" s="630"/>
      <c r="F7" s="7"/>
      <c r="G7" s="7"/>
      <c r="H7" s="7"/>
      <c r="I7" s="7"/>
      <c r="J7" s="7"/>
      <c r="K7" s="7"/>
      <c r="L7" s="7"/>
      <c r="M7" s="7"/>
      <c r="N7" s="7"/>
    </row>
    <row r="8" spans="2:37" ht="17" x14ac:dyDescent="0.4">
      <c r="B8" s="631"/>
      <c r="C8" s="632" t="s">
        <v>141</v>
      </c>
      <c r="D8" s="633"/>
      <c r="E8" s="634"/>
      <c r="F8" s="7"/>
      <c r="G8" s="635"/>
      <c r="H8" s="636"/>
      <c r="I8" s="636"/>
      <c r="J8" s="636"/>
      <c r="K8" s="636"/>
      <c r="L8" s="637" t="s">
        <v>93</v>
      </c>
      <c r="M8" s="636"/>
      <c r="N8" s="636"/>
      <c r="O8" s="636"/>
      <c r="P8" s="636"/>
      <c r="Q8" s="638"/>
      <c r="R8" s="639"/>
      <c r="S8" s="635"/>
      <c r="T8" s="636"/>
      <c r="U8" s="636"/>
      <c r="V8" s="637" t="s">
        <v>142</v>
      </c>
      <c r="W8" s="636"/>
      <c r="X8" s="636"/>
      <c r="Y8" s="636"/>
      <c r="Z8" s="638"/>
      <c r="AA8" s="639"/>
      <c r="AB8" s="631"/>
      <c r="AC8" s="632" t="s">
        <v>143</v>
      </c>
      <c r="AD8" s="633"/>
      <c r="AE8" s="634"/>
      <c r="AF8" s="640"/>
      <c r="AG8" s="631"/>
      <c r="AH8" s="633"/>
      <c r="AI8" s="641" t="s">
        <v>144</v>
      </c>
      <c r="AJ8" s="634"/>
    </row>
    <row r="9" spans="2:37" s="760" customFormat="1" ht="130.5" customHeight="1" x14ac:dyDescent="0.35">
      <c r="B9" s="744" t="s">
        <v>342</v>
      </c>
      <c r="C9" s="745" t="s">
        <v>343</v>
      </c>
      <c r="D9" s="746" t="s">
        <v>344</v>
      </c>
      <c r="E9" s="747" t="s">
        <v>345</v>
      </c>
      <c r="F9" s="748"/>
      <c r="G9" s="749" t="s">
        <v>346</v>
      </c>
      <c r="H9" s="750" t="s">
        <v>347</v>
      </c>
      <c r="I9" s="751" t="s">
        <v>348</v>
      </c>
      <c r="J9" s="745" t="s">
        <v>349</v>
      </c>
      <c r="K9" s="745" t="s">
        <v>350</v>
      </c>
      <c r="L9" s="745" t="s">
        <v>351</v>
      </c>
      <c r="M9" s="745" t="s">
        <v>352</v>
      </c>
      <c r="N9" s="752" t="s">
        <v>356</v>
      </c>
      <c r="O9" s="745" t="s">
        <v>353</v>
      </c>
      <c r="P9" s="745" t="s">
        <v>354</v>
      </c>
      <c r="Q9" s="753" t="s">
        <v>355</v>
      </c>
      <c r="R9" s="754"/>
      <c r="S9" s="749" t="s">
        <v>346</v>
      </c>
      <c r="T9" s="750" t="s">
        <v>347</v>
      </c>
      <c r="U9" s="751" t="s">
        <v>348</v>
      </c>
      <c r="V9" s="745" t="s">
        <v>349</v>
      </c>
      <c r="W9" s="745" t="s">
        <v>350</v>
      </c>
      <c r="X9" s="752" t="s">
        <v>357</v>
      </c>
      <c r="Y9" s="745" t="s">
        <v>358</v>
      </c>
      <c r="Z9" s="755" t="s">
        <v>359</v>
      </c>
      <c r="AA9" s="754"/>
      <c r="AB9" s="744" t="s">
        <v>360</v>
      </c>
      <c r="AC9" s="752" t="s">
        <v>361</v>
      </c>
      <c r="AD9" s="752" t="s">
        <v>362</v>
      </c>
      <c r="AE9" s="755" t="s">
        <v>363</v>
      </c>
      <c r="AF9" s="756"/>
      <c r="AG9" s="757" t="s">
        <v>145</v>
      </c>
      <c r="AH9" s="758" t="s">
        <v>146</v>
      </c>
      <c r="AI9" s="757" t="s">
        <v>364</v>
      </c>
      <c r="AJ9" s="758" t="s">
        <v>372</v>
      </c>
      <c r="AK9" s="759" t="s">
        <v>365</v>
      </c>
    </row>
    <row r="10" spans="2:37" s="642" customFormat="1" x14ac:dyDescent="0.35">
      <c r="B10" s="643"/>
      <c r="C10" s="99"/>
      <c r="D10" s="99"/>
      <c r="E10" s="644" t="s">
        <v>147</v>
      </c>
      <c r="F10" s="645"/>
      <c r="G10" s="646">
        <v>186722.89123362611</v>
      </c>
      <c r="H10" s="647">
        <v>127510.45198909142</v>
      </c>
      <c r="I10" s="647">
        <v>76313.369244777001</v>
      </c>
      <c r="J10" s="647">
        <v>22960.749035980542</v>
      </c>
      <c r="K10" s="647">
        <v>14382.255700676673</v>
      </c>
      <c r="L10" s="647">
        <v>25.702247579854244</v>
      </c>
      <c r="M10" s="647">
        <v>9.3835811499490092</v>
      </c>
      <c r="N10" s="647">
        <v>450.36119201858583</v>
      </c>
      <c r="O10" s="647">
        <v>11.829775548668364</v>
      </c>
      <c r="P10" s="647">
        <v>5148.568283383468</v>
      </c>
      <c r="Q10" s="648">
        <v>32.613696076434529</v>
      </c>
      <c r="R10" s="649"/>
      <c r="S10" s="646">
        <v>137243.44353227338</v>
      </c>
      <c r="T10" s="650">
        <v>61969.879410775815</v>
      </c>
      <c r="U10" s="650">
        <v>24433.195174656681</v>
      </c>
      <c r="V10" s="650">
        <v>7429.0772156947141</v>
      </c>
      <c r="W10" s="650">
        <v>7429.0772156947141</v>
      </c>
      <c r="X10" s="651">
        <v>5.1006488142895385</v>
      </c>
      <c r="Y10" s="647">
        <v>152.89477063881611</v>
      </c>
      <c r="Z10" s="652">
        <v>2.7289890314453391</v>
      </c>
      <c r="AA10" s="653"/>
      <c r="AB10" s="654"/>
      <c r="AC10" s="655"/>
      <c r="AD10" s="655"/>
      <c r="AE10" s="656"/>
      <c r="AF10" s="657"/>
      <c r="AG10" s="658"/>
      <c r="AH10" s="659"/>
      <c r="AI10" s="658"/>
      <c r="AJ10" s="659"/>
      <c r="AK10" s="660"/>
    </row>
    <row r="11" spans="2:37" s="642" customFormat="1" x14ac:dyDescent="0.35">
      <c r="B11" s="100"/>
      <c r="C11" s="661"/>
      <c r="D11" s="661"/>
      <c r="E11" s="662" t="s">
        <v>89</v>
      </c>
      <c r="F11" s="645"/>
      <c r="G11" s="663" t="s">
        <v>95</v>
      </c>
      <c r="H11" s="664" t="s">
        <v>95</v>
      </c>
      <c r="I11" s="664" t="s">
        <v>95</v>
      </c>
      <c r="J11" s="664" t="s">
        <v>95</v>
      </c>
      <c r="K11" s="664" t="s">
        <v>95</v>
      </c>
      <c r="L11" s="664" t="s">
        <v>101</v>
      </c>
      <c r="M11" s="664" t="s">
        <v>101</v>
      </c>
      <c r="N11" s="664" t="s">
        <v>104</v>
      </c>
      <c r="O11" s="664" t="s">
        <v>107</v>
      </c>
      <c r="P11" s="664" t="s">
        <v>95</v>
      </c>
      <c r="Q11" s="665" t="s">
        <v>112</v>
      </c>
      <c r="R11" s="653"/>
      <c r="S11" s="663" t="s">
        <v>95</v>
      </c>
      <c r="T11" s="666" t="s">
        <v>95</v>
      </c>
      <c r="U11" s="666" t="s">
        <v>95</v>
      </c>
      <c r="V11" s="666" t="s">
        <v>95</v>
      </c>
      <c r="W11" s="666" t="s">
        <v>95</v>
      </c>
      <c r="X11" s="667" t="s">
        <v>107</v>
      </c>
      <c r="Y11" s="664" t="s">
        <v>118</v>
      </c>
      <c r="Z11" s="665" t="s">
        <v>107</v>
      </c>
      <c r="AA11" s="653"/>
      <c r="AB11" s="668"/>
      <c r="AC11" s="669"/>
      <c r="AD11" s="669"/>
      <c r="AE11" s="670"/>
      <c r="AF11" s="657"/>
      <c r="AG11" s="671"/>
      <c r="AH11" s="672"/>
      <c r="AI11" s="673"/>
      <c r="AJ11" s="674"/>
      <c r="AK11" s="675"/>
    </row>
    <row r="12" spans="2:37" s="138" customFormat="1" hidden="1" x14ac:dyDescent="0.35">
      <c r="B12" s="107" t="s">
        <v>206</v>
      </c>
      <c r="C12" s="107" t="s">
        <v>207</v>
      </c>
      <c r="D12" s="108" t="s">
        <v>208</v>
      </c>
      <c r="E12" s="109" t="s">
        <v>209</v>
      </c>
      <c r="F12" s="132" t="s">
        <v>210</v>
      </c>
      <c r="G12" s="104" t="s">
        <v>211</v>
      </c>
      <c r="H12" s="102" t="s">
        <v>212</v>
      </c>
      <c r="I12" s="102" t="s">
        <v>213</v>
      </c>
      <c r="J12" s="105" t="s">
        <v>214</v>
      </c>
      <c r="K12" s="105" t="s">
        <v>215</v>
      </c>
      <c r="L12" s="102" t="s">
        <v>216</v>
      </c>
      <c r="M12" s="102" t="s">
        <v>217</v>
      </c>
      <c r="N12" s="102" t="s">
        <v>218</v>
      </c>
      <c r="O12" s="102" t="s">
        <v>219</v>
      </c>
      <c r="P12" s="105" t="s">
        <v>220</v>
      </c>
      <c r="Q12" s="126" t="s">
        <v>221</v>
      </c>
      <c r="R12" s="133" t="s">
        <v>222</v>
      </c>
      <c r="S12" s="676" t="s">
        <v>223</v>
      </c>
      <c r="T12" s="677" t="s">
        <v>224</v>
      </c>
      <c r="U12" s="677" t="s">
        <v>225</v>
      </c>
      <c r="V12" s="677" t="s">
        <v>226</v>
      </c>
      <c r="W12" s="677" t="s">
        <v>227</v>
      </c>
      <c r="X12" s="102" t="s">
        <v>228</v>
      </c>
      <c r="Y12" s="102" t="s">
        <v>229</v>
      </c>
      <c r="Z12" s="126" t="s">
        <v>230</v>
      </c>
      <c r="AA12" s="134" t="s">
        <v>231</v>
      </c>
      <c r="AB12" s="101" t="s">
        <v>232</v>
      </c>
      <c r="AC12" s="678" t="s">
        <v>233</v>
      </c>
      <c r="AD12" s="678" t="s">
        <v>234</v>
      </c>
      <c r="AE12" s="679" t="s">
        <v>235</v>
      </c>
      <c r="AF12" s="135" t="s">
        <v>236</v>
      </c>
      <c r="AG12" s="136" t="s">
        <v>237</v>
      </c>
      <c r="AH12" s="137" t="s">
        <v>238</v>
      </c>
      <c r="AI12" s="136" t="s">
        <v>239</v>
      </c>
      <c r="AJ12" s="137" t="s">
        <v>240</v>
      </c>
      <c r="AK12" s="680" t="s">
        <v>241</v>
      </c>
    </row>
    <row r="13" spans="2:37" s="138" customFormat="1" hidden="1" x14ac:dyDescent="0.35">
      <c r="B13" s="110" t="s">
        <v>281</v>
      </c>
      <c r="C13" s="110" t="s">
        <v>282</v>
      </c>
      <c r="D13" s="108" t="s">
        <v>148</v>
      </c>
      <c r="E13" s="111">
        <v>12345678</v>
      </c>
      <c r="F13" s="132"/>
      <c r="G13" s="104"/>
      <c r="H13" s="102"/>
      <c r="I13" s="102"/>
      <c r="J13" s="105"/>
      <c r="K13" s="105"/>
      <c r="L13" s="102">
        <f t="shared" ref="L13" si="0">(SUM(G13:J13)*$H$46)+(SUM(K13*$J$46))</f>
        <v>0</v>
      </c>
      <c r="M13" s="102">
        <f t="shared" ref="M13" si="1">(SUM(G13:J13)*$H$47)+(SUM(K13*$J$47))</f>
        <v>0</v>
      </c>
      <c r="N13" s="102">
        <f t="shared" ref="N13" si="2">(SUM(G13:J13)*$H$48)+(SUM(K13*$J$48))</f>
        <v>0</v>
      </c>
      <c r="O13" s="102"/>
      <c r="P13" s="105"/>
      <c r="Q13" s="126"/>
      <c r="R13" s="133"/>
      <c r="S13" s="142">
        <f t="shared" ref="S13:W30" si="3">G13</f>
        <v>0</v>
      </c>
      <c r="T13" s="361">
        <f t="shared" si="3"/>
        <v>0</v>
      </c>
      <c r="U13" s="361">
        <f t="shared" si="3"/>
        <v>0</v>
      </c>
      <c r="V13" s="361">
        <f t="shared" si="3"/>
        <v>0</v>
      </c>
      <c r="W13" s="361">
        <f t="shared" si="3"/>
        <v>0</v>
      </c>
      <c r="X13" s="102"/>
      <c r="Y13" s="102"/>
      <c r="Z13" s="126"/>
      <c r="AA13" s="134"/>
      <c r="AB13" s="101">
        <v>0.1</v>
      </c>
      <c r="AC13" s="143">
        <f t="shared" ref="AC13:AC30" si="4">$T$45</f>
        <v>0.05</v>
      </c>
      <c r="AD13" s="143">
        <f t="shared" ref="AD13:AD30" si="5">$T$46</f>
        <v>0.05</v>
      </c>
      <c r="AE13" s="144">
        <f t="shared" ref="AE13:AE30" si="6">$T$47</f>
        <v>0.08</v>
      </c>
      <c r="AF13" s="135"/>
      <c r="AG13" s="136">
        <f>((G13*$G$10)+(H13*$H$10)+(I13*$I$10)+(J13*$J$10)+(K13*$K$10)+(L13*$L$10)+(M13*$M$10)+(N13*$N$10)+(O13*$O$10)+(P13*$P$10)+(Q13*$Q$10))+(((G13*$G$10)+(H13*$H$10)+(I13*$I$10)+(J13*$J$10)+(K13*$K$10)+(L13*$L$10)+(M13*$M$10)+(N13*$N$10)+(O13*$O$10)+(P13*$P$10)+(Q13*$Q$10))*AB13)+(((G13*$G$10)+(H13*$H$10)+(I13*$I$10)+(J13*$J$10)+(K13*$K$10)+(L13*$L$10)+(M13*$M$10)+(N13*$N$10)+(O13*$O$10)+(P13*$P$10)+(Q13*$Q$10))*AC13)+(((G13*$G$10)+(H13*$H$10)+(I13*$I$10)+(J13*$J$10)+(K13*$K$10)+(L13*$L$10)+(M13*$M$10)+(N13*$N$10)+(O13*$O$10)+(P13*$P$10)+(Q13*$Q$10))*AD13)+(((G13*$G$10)+(H13*$H$10)+(I13*$I$10)+(J13*$J$10)+(K13*$K$10)+(L13*$L$10)+(M13*$M$10)+(N13*$N$10)+(O13*$O$10)+(P13*$P$10)+(Q13*$Q$10))*AE13)</f>
        <v>0</v>
      </c>
      <c r="AH13" s="137">
        <f>((S13*$S$10)+(T13*$T$10)+(U13*$U$10)+(V13*$V$10)+(W13*$W$10)+(X13*$X$10)+(Y13*$Y$10)+(Z13*$Z$10))+(((S13*$S$10)+(T13*$T$10)+(U13*$U$10)+(V13*$V$10)+(W13*$W$10)+(X13*$X$10)+(Y13*$Y$10)+(Z13*$Z$10))*AB13)+(((S13*$S$10)+(T13*$T$10)+(U13*$U$10)+(V13*$V$10)+(W13*$W$10)+(X13*$X$10)+(Y13*$Y$10)+(Z13*$Z$10))*AC13)+(((S13*$S$10)+(T13*$T$10)+(U13*$U$10)+(V13*$V$10)+(W13*$W$10)+(X13*$X$10)+(Y13*$Y$10)+(Z13*$Z$10))*AD13)+(((S13*$S$10)+(T13*$T$10)+(U13*$U$10)+(V13*$V$10)+(W13*$W$10)+(X13*$X$10)+(Y13*$Y$10)+(Z13*$Z$10))*AE13)</f>
        <v>0</v>
      </c>
      <c r="AI13" s="136">
        <f>ROUND(AG13,0)</f>
        <v>0</v>
      </c>
      <c r="AJ13" s="137">
        <f>ROUND(AH13,0)</f>
        <v>0</v>
      </c>
      <c r="AK13" s="680">
        <f>ROUND(SUM(AI13:AJ13),0)</f>
        <v>0</v>
      </c>
    </row>
    <row r="14" spans="2:37" s="138" customFormat="1" x14ac:dyDescent="0.35">
      <c r="B14" s="112" t="s">
        <v>281</v>
      </c>
      <c r="C14" s="112" t="s">
        <v>282</v>
      </c>
      <c r="D14" s="108" t="s">
        <v>148</v>
      </c>
      <c r="E14" s="109">
        <v>12345678</v>
      </c>
      <c r="F14" s="139"/>
      <c r="G14" s="104">
        <v>1</v>
      </c>
      <c r="H14" s="102">
        <v>1</v>
      </c>
      <c r="I14" s="102">
        <v>1</v>
      </c>
      <c r="J14" s="105">
        <v>1</v>
      </c>
      <c r="K14" s="105">
        <v>1</v>
      </c>
      <c r="L14" s="102">
        <v>750</v>
      </c>
      <c r="M14" s="102">
        <v>500</v>
      </c>
      <c r="N14" s="102">
        <v>10</v>
      </c>
      <c r="O14" s="102"/>
      <c r="P14" s="105"/>
      <c r="Q14" s="126"/>
      <c r="R14" s="133"/>
      <c r="S14" s="145">
        <f t="shared" si="3"/>
        <v>1</v>
      </c>
      <c r="T14" s="362">
        <f t="shared" si="3"/>
        <v>1</v>
      </c>
      <c r="U14" s="362">
        <f t="shared" si="3"/>
        <v>1</v>
      </c>
      <c r="V14" s="362">
        <f t="shared" si="3"/>
        <v>1</v>
      </c>
      <c r="W14" s="362">
        <f t="shared" si="3"/>
        <v>1</v>
      </c>
      <c r="X14" s="102"/>
      <c r="Y14" s="102"/>
      <c r="Z14" s="126"/>
      <c r="AA14" s="134"/>
      <c r="AB14" s="101">
        <v>0.1</v>
      </c>
      <c r="AC14" s="146">
        <f t="shared" si="4"/>
        <v>0.05</v>
      </c>
      <c r="AD14" s="146">
        <f t="shared" si="5"/>
        <v>0.05</v>
      </c>
      <c r="AE14" s="147">
        <f t="shared" si="6"/>
        <v>0.08</v>
      </c>
      <c r="AF14" s="140"/>
      <c r="AG14" s="136">
        <f>((G14*$G$10)+(H14*$H$10)+(I14*$I$10)+(J14*$J$10)+(K14*$K$10)+(L14*$L$10)+(M14*$M$10)+(N14*$N$10)+(O14*$O$10)+(P14*$P$10)+(Q14*$Q$10))+(((G14*$G$10)+(H14*$H$10)+(I14*$I$10)+(J14*$J$10)+(K14*$K$10)+(L14*$L$10)+(M14*$M$10)+(N14*$N$10)+(O14*$O$10)+(P14*$P$10)+(Q14*$Q$10))*AB14)+(((G14*$G$10)+(H14*$H$10)+(I14*$I$10)+(J14*$J$10)+(K14*$K$10)+(L14*$L$10)+(M14*$M$10)+(N14*$N$10)+(O14*$O$10)+(P14*$P$10)+(Q14*$Q$10))*AC14)+(((G14*$G$10)+(H14*$H$10)+(I14*$I$10)+(J14*$J$10)+(K14*$K$10)+(L14*$L$10)+(M14*$M$10)+(N14*$N$10)+(O14*$O$10)+(P14*$P$10)+(Q14*$Q$10))*AD14)+(((G14*$G$10)+(H14*$H$10)+(I14*$I$10)+(J14*$J$10)+(K14*$K$10)+(L14*$L$10)+(M14*$M$10)+(N14*$N$10)+(O14*$O$10)+(P14*$P$10)+(Q14*$Q$10))*AE14)</f>
        <v>584143.11089177965</v>
      </c>
      <c r="AH14" s="137">
        <f t="shared" ref="AH14:AH30" si="7">((S14*$S$10)+(T14*$T$10)+(U14*$U$10)+(V14*$V$10)+(W14*$W$10)+(X14*$X$10)+(Y14*$Y$10)+(Z14*$Z$10))+(((S14*$S$10)+(T14*$T$10)+(U14*$U$10)+(V14*$V$10)+(W14*$W$10)+(X14*$X$10)+(Y14*$Y$10)+(Z14*$Z$10))*AB14)+(((S14*$S$10)+(T14*$T$10)+(U14*$U$10)+(V14*$V$10)+(W14*$W$10)+(X14*$X$10)+(Y14*$Y$10)+(Z14*$Z$10))*AC14)+(((S14*$S$10)+(T14*$T$10)+(U14*$U$10)+(V14*$V$10)+(W14*$W$10)+(X14*$X$10)+(Y14*$Y$10)+(Z14*$Z$10))*AD14)+(((S14*$S$10)+(T14*$T$10)+(U14*$U$10)+(V14*$V$10)+(W14*$W$10)+(X14*$X$10)+(Y14*$Y$10)+(Z14*$Z$10))*AE14)</f>
        <v>305285.980862842</v>
      </c>
      <c r="AI14" s="136">
        <f t="shared" ref="AI14:AJ30" si="8">ROUND(AG14,0)</f>
        <v>584143</v>
      </c>
      <c r="AJ14" s="137">
        <f t="shared" si="8"/>
        <v>305286</v>
      </c>
      <c r="AK14" s="680">
        <f t="shared" ref="AK14:AK30" si="9">ROUND(SUM(AI14:AJ14),0)</f>
        <v>889429</v>
      </c>
    </row>
    <row r="15" spans="2:37" s="138" customFormat="1" x14ac:dyDescent="0.35">
      <c r="B15" s="112" t="s">
        <v>281</v>
      </c>
      <c r="C15" s="112" t="s">
        <v>282</v>
      </c>
      <c r="D15" s="108" t="s">
        <v>148</v>
      </c>
      <c r="E15" s="109">
        <v>12345678</v>
      </c>
      <c r="F15" s="139"/>
      <c r="G15" s="104">
        <v>1</v>
      </c>
      <c r="H15" s="102">
        <v>1</v>
      </c>
      <c r="I15" s="102">
        <v>1</v>
      </c>
      <c r="J15" s="105">
        <v>1</v>
      </c>
      <c r="K15" s="105">
        <v>1</v>
      </c>
      <c r="L15" s="102">
        <v>750</v>
      </c>
      <c r="M15" s="102">
        <v>500</v>
      </c>
      <c r="N15" s="102">
        <v>10</v>
      </c>
      <c r="O15" s="102"/>
      <c r="P15" s="105"/>
      <c r="Q15" s="126"/>
      <c r="R15" s="133"/>
      <c r="S15" s="145">
        <f t="shared" ref="S15" si="10">G15</f>
        <v>1</v>
      </c>
      <c r="T15" s="362">
        <f t="shared" ref="T15" si="11">H15</f>
        <v>1</v>
      </c>
      <c r="U15" s="362">
        <f t="shared" ref="U15" si="12">I15</f>
        <v>1</v>
      </c>
      <c r="V15" s="362">
        <f t="shared" ref="V15" si="13">J15</f>
        <v>1</v>
      </c>
      <c r="W15" s="362">
        <f t="shared" ref="W15" si="14">K15</f>
        <v>1</v>
      </c>
      <c r="X15" s="102"/>
      <c r="Y15" s="102"/>
      <c r="Z15" s="126"/>
      <c r="AA15" s="134"/>
      <c r="AB15" s="101">
        <v>0.2</v>
      </c>
      <c r="AC15" s="146">
        <f t="shared" si="4"/>
        <v>0.05</v>
      </c>
      <c r="AD15" s="146">
        <f t="shared" si="5"/>
        <v>0.05</v>
      </c>
      <c r="AE15" s="147">
        <f t="shared" si="6"/>
        <v>0.08</v>
      </c>
      <c r="AF15" s="140"/>
      <c r="AG15" s="136">
        <f t="shared" ref="AG15" si="15">((G15*$G$10)+(H15*$H$10)+(I15*$I$10)+(J15*$J$10)+(K15*$K$10)+(L15*$L$10)+(M15*$M$10)+(N15*$N$10)+(O15*$O$10)+(P15*$P$10)+(Q15*$Q$10))+(((G15*$G$10)+(H15*$H$10)+(I15*$I$10)+(J15*$J$10)+(K15*$K$10)+(L15*$L$10)+(M15*$M$10)+(N15*$N$10)+(O15*$O$10)+(P15*$P$10)+(Q15*$Q$10))*AB15)+(((G15*$G$10)+(H15*$H$10)+(I15*$I$10)+(J15*$J$10)+(K15*$K$10)+(L15*$L$10)+(M15*$M$10)+(N15*$N$10)+(O15*$O$10)+(P15*$P$10)+(Q15*$Q$10))*AC15)+(((G15*$G$10)+(H15*$H$10)+(I15*$I$10)+(J15*$J$10)+(K15*$K$10)+(L15*$L$10)+(M15*$M$10)+(N15*$N$10)+(O15*$O$10)+(P15*$P$10)+(Q15*$Q$10))*AD15)+(((G15*$G$10)+(H15*$H$10)+(I15*$I$10)+(J15*$J$10)+(K15*$K$10)+(L15*$L$10)+(M15*$M$10)+(N15*$N$10)+(O15*$O$10)+(P15*$P$10)+(Q15*$Q$10))*AE15)</f>
        <v>629779.29143019998</v>
      </c>
      <c r="AH15" s="137">
        <f t="shared" ref="AH15" si="16">((S15*$S$10)+(T15*$T$10)+(U15*$U$10)+(V15*$V$10)+(W15*$W$10)+(X15*$X$10)+(Y15*$Y$10)+(Z15*$Z$10))+(((S15*$S$10)+(T15*$T$10)+(U15*$U$10)+(V15*$V$10)+(W15*$W$10)+(X15*$X$10)+(Y15*$Y$10)+(Z15*$Z$10))*AB15)+(((S15*$S$10)+(T15*$T$10)+(U15*$U$10)+(V15*$V$10)+(W15*$W$10)+(X15*$X$10)+(Y15*$Y$10)+(Z15*$Z$10))*AC15)+(((S15*$S$10)+(T15*$T$10)+(U15*$U$10)+(V15*$V$10)+(W15*$W$10)+(X15*$X$10)+(Y15*$Y$10)+(Z15*$Z$10))*AD15)+(((S15*$S$10)+(T15*$T$10)+(U15*$U$10)+(V15*$V$10)+(W15*$W$10)+(X15*$X$10)+(Y15*$Y$10)+(Z15*$Z$10))*AE15)</f>
        <v>329136.44811775157</v>
      </c>
      <c r="AI15" s="136">
        <f t="shared" ref="AI15" si="17">ROUND(AG15,0)</f>
        <v>629779</v>
      </c>
      <c r="AJ15" s="137">
        <f t="shared" ref="AJ15" si="18">ROUND(AH15,0)</f>
        <v>329136</v>
      </c>
      <c r="AK15" s="680">
        <f t="shared" ref="AK15" si="19">ROUND(SUM(AI15:AJ15),0)</f>
        <v>958915</v>
      </c>
    </row>
    <row r="16" spans="2:37" s="138" customFormat="1" x14ac:dyDescent="0.35">
      <c r="B16" s="110" t="s">
        <v>281</v>
      </c>
      <c r="C16" s="110" t="s">
        <v>282</v>
      </c>
      <c r="D16" s="108" t="s">
        <v>148</v>
      </c>
      <c r="E16" s="111">
        <v>12345678</v>
      </c>
      <c r="F16" s="139"/>
      <c r="G16" s="104">
        <v>1</v>
      </c>
      <c r="H16" s="102">
        <v>1</v>
      </c>
      <c r="I16" s="102">
        <v>1</v>
      </c>
      <c r="J16" s="105">
        <v>1</v>
      </c>
      <c r="K16" s="105">
        <v>1</v>
      </c>
      <c r="L16" s="102">
        <v>750</v>
      </c>
      <c r="M16" s="102">
        <v>500</v>
      </c>
      <c r="N16" s="102">
        <v>10</v>
      </c>
      <c r="O16" s="102"/>
      <c r="P16" s="105"/>
      <c r="Q16" s="126"/>
      <c r="R16" s="133"/>
      <c r="S16" s="142">
        <f>G16</f>
        <v>1</v>
      </c>
      <c r="T16" s="361">
        <f>H16</f>
        <v>1</v>
      </c>
      <c r="U16" s="361">
        <f>I16</f>
        <v>1</v>
      </c>
      <c r="V16" s="361">
        <f>J16</f>
        <v>1</v>
      </c>
      <c r="W16" s="361">
        <f>K16</f>
        <v>1</v>
      </c>
      <c r="X16" s="102"/>
      <c r="Y16" s="102"/>
      <c r="Z16" s="126"/>
      <c r="AA16" s="134"/>
      <c r="AB16" s="101">
        <v>0.3</v>
      </c>
      <c r="AC16" s="143">
        <f t="shared" si="4"/>
        <v>0.05</v>
      </c>
      <c r="AD16" s="143">
        <f t="shared" si="5"/>
        <v>0.05</v>
      </c>
      <c r="AE16" s="144">
        <f t="shared" si="6"/>
        <v>0.08</v>
      </c>
      <c r="AF16" s="140"/>
      <c r="AG16" s="136">
        <f>((G16*$G$10)+(H16*$H$10)+(I16*$I$10)+(J16*$J$10)+(K16*$K$10)+(L16*$L$10)+(M16*$M$10)+(N16*$N$10)+(O16*$O$10)+(P16*$P$10)+(Q16*$Q$10))+(((G16*$G$10)+(H16*$H$10)+(I16*$I$10)+(J16*$J$10)+(K16*$K$10)+(L16*$L$10)+(M16*$M$10)+(N16*$N$10)+(O16*$O$10)+(P16*$P$10)+(Q16*$Q$10))*AB16)+(((G16*$G$10)+(H16*$H$10)+(I16*$I$10)+(J16*$J$10)+(K16*$K$10)+(L16*$L$10)+(M16*$M$10)+(N16*$N$10)+(O16*$O$10)+(P16*$P$10)+(Q16*$Q$10))*AC16)+(((G16*$G$10)+(H16*$H$10)+(I16*$I$10)+(J16*$J$10)+(K16*$K$10)+(L16*$L$10)+(M16*$M$10)+(N16*$N$10)+(O16*$O$10)+(P16*$P$10)+(Q16*$Q$10))*AD16)+(((G16*$G$10)+(H16*$H$10)+(I16*$I$10)+(J16*$J$10)+(K16*$K$10)+(L16*$L$10)+(M16*$M$10)+(N16*$N$10)+(O16*$O$10)+(P16*$P$10)+(Q16*$Q$10))*AE16)</f>
        <v>675415.4719686202</v>
      </c>
      <c r="AH16" s="137">
        <f>((S16*$S$10)+(T16*$T$10)+(U16*$U$10)+(V16*$V$10)+(W16*$W$10)+(X16*$X$10)+(Y16*$Y$10)+(Z16*$Z$10))+(((S16*$S$10)+(T16*$T$10)+(U16*$U$10)+(V16*$V$10)+(W16*$W$10)+(X16*$X$10)+(Y16*$Y$10)+(Z16*$Z$10))*AB16)+(((S16*$S$10)+(T16*$T$10)+(U16*$U$10)+(V16*$V$10)+(W16*$W$10)+(X16*$X$10)+(Y16*$Y$10)+(Z16*$Z$10))*AC16)+(((S16*$S$10)+(T16*$T$10)+(U16*$U$10)+(V16*$V$10)+(W16*$W$10)+(X16*$X$10)+(Y16*$Y$10)+(Z16*$Z$10))*AD16)+(((S16*$S$10)+(T16*$T$10)+(U16*$U$10)+(V16*$V$10)+(W16*$W$10)+(X16*$X$10)+(Y16*$Y$10)+(Z16*$Z$10))*AE16)</f>
        <v>352986.91537266108</v>
      </c>
      <c r="AI16" s="136">
        <f>ROUND(AG16,0)</f>
        <v>675415</v>
      </c>
      <c r="AJ16" s="137">
        <f>ROUND(AH16,0)</f>
        <v>352987</v>
      </c>
      <c r="AK16" s="680">
        <f>ROUND(SUM(AI16:AJ16),0)</f>
        <v>1028402</v>
      </c>
    </row>
    <row r="17" spans="2:37" s="138" customFormat="1" x14ac:dyDescent="0.35">
      <c r="B17" s="110" t="s">
        <v>281</v>
      </c>
      <c r="C17" s="110" t="s">
        <v>282</v>
      </c>
      <c r="D17" s="108" t="s">
        <v>148</v>
      </c>
      <c r="E17" s="111">
        <v>12345678</v>
      </c>
      <c r="F17" s="139"/>
      <c r="G17" s="104">
        <v>1</v>
      </c>
      <c r="H17" s="102">
        <v>1</v>
      </c>
      <c r="I17" s="102">
        <v>1</v>
      </c>
      <c r="J17" s="105">
        <v>1</v>
      </c>
      <c r="K17" s="105">
        <v>1</v>
      </c>
      <c r="L17" s="102">
        <v>750</v>
      </c>
      <c r="M17" s="102">
        <v>500</v>
      </c>
      <c r="N17" s="102">
        <v>10</v>
      </c>
      <c r="O17" s="102"/>
      <c r="P17" s="105"/>
      <c r="Q17" s="126"/>
      <c r="R17" s="133"/>
      <c r="S17" s="142">
        <f t="shared" si="3"/>
        <v>1</v>
      </c>
      <c r="T17" s="361">
        <f t="shared" si="3"/>
        <v>1</v>
      </c>
      <c r="U17" s="361">
        <f t="shared" si="3"/>
        <v>1</v>
      </c>
      <c r="V17" s="361">
        <f t="shared" si="3"/>
        <v>1</v>
      </c>
      <c r="W17" s="361">
        <f t="shared" si="3"/>
        <v>1</v>
      </c>
      <c r="X17" s="102"/>
      <c r="Y17" s="102"/>
      <c r="Z17" s="126"/>
      <c r="AA17" s="134"/>
      <c r="AB17" s="101">
        <v>0.1</v>
      </c>
      <c r="AC17" s="143">
        <f t="shared" si="4"/>
        <v>0.05</v>
      </c>
      <c r="AD17" s="143">
        <f t="shared" si="5"/>
        <v>0.05</v>
      </c>
      <c r="AE17" s="144">
        <f t="shared" si="6"/>
        <v>0.08</v>
      </c>
      <c r="AF17" s="140"/>
      <c r="AG17" s="136">
        <f t="shared" ref="AG17:AG30" si="20">((G17*$G$10)+(H17*$H$10)+(I17*$I$10)+(J17*$J$10)+(K17*$K$10)+(L17*$L$10)+(M17*$M$10)+(N17*$N$10)+(O17*$O$10)+(P17*$P$10)+(Q17*$Q$10))+(((G17*$G$10)+(H17*$H$10)+(I17*$I$10)+(J17*$J$10)+(K17*$K$10)+(L17*$L$10)+(M17*$M$10)+(N17*$N$10)+(O17*$O$10)+(P17*$P$10)+(Q17*$Q$10))*AB17)+(((G17*$G$10)+(H17*$H$10)+(I17*$I$10)+(J17*$J$10)+(K17*$K$10)+(L17*$L$10)+(M17*$M$10)+(N17*$N$10)+(O17*$O$10)+(P17*$P$10)+(Q17*$Q$10))*AC17)+(((G17*$G$10)+(H17*$H$10)+(I17*$I$10)+(J17*$J$10)+(K17*$K$10)+(L17*$L$10)+(M17*$M$10)+(N17*$N$10)+(O17*$O$10)+(P17*$P$10)+(Q17*$Q$10))*AD17)+(((G17*$G$10)+(H17*$H$10)+(I17*$I$10)+(J17*$J$10)+(K17*$K$10)+(L17*$L$10)+(M17*$M$10)+(N17*$N$10)+(O17*$O$10)+(P17*$P$10)+(Q17*$Q$10))*AE17)</f>
        <v>584143.11089177965</v>
      </c>
      <c r="AH17" s="137">
        <f t="shared" si="7"/>
        <v>305285.980862842</v>
      </c>
      <c r="AI17" s="136">
        <f t="shared" si="8"/>
        <v>584143</v>
      </c>
      <c r="AJ17" s="137">
        <f t="shared" si="8"/>
        <v>305286</v>
      </c>
      <c r="AK17" s="680">
        <f t="shared" si="9"/>
        <v>889429</v>
      </c>
    </row>
    <row r="18" spans="2:37" s="138" customFormat="1" x14ac:dyDescent="0.35">
      <c r="B18" s="110" t="s">
        <v>281</v>
      </c>
      <c r="C18" s="110" t="s">
        <v>282</v>
      </c>
      <c r="D18" s="108" t="s">
        <v>148</v>
      </c>
      <c r="E18" s="111">
        <v>12345678</v>
      </c>
      <c r="F18" s="139"/>
      <c r="G18" s="104">
        <v>1</v>
      </c>
      <c r="H18" s="102">
        <v>1</v>
      </c>
      <c r="I18" s="102">
        <v>1</v>
      </c>
      <c r="J18" s="105">
        <v>1</v>
      </c>
      <c r="K18" s="105">
        <v>1</v>
      </c>
      <c r="L18" s="102">
        <v>750</v>
      </c>
      <c r="M18" s="102">
        <v>500</v>
      </c>
      <c r="N18" s="102">
        <v>10</v>
      </c>
      <c r="O18" s="102"/>
      <c r="P18" s="105"/>
      <c r="Q18" s="126"/>
      <c r="R18" s="133"/>
      <c r="S18" s="142">
        <f t="shared" si="3"/>
        <v>1</v>
      </c>
      <c r="T18" s="361">
        <f t="shared" si="3"/>
        <v>1</v>
      </c>
      <c r="U18" s="361">
        <f t="shared" si="3"/>
        <v>1</v>
      </c>
      <c r="V18" s="361">
        <f t="shared" si="3"/>
        <v>1</v>
      </c>
      <c r="W18" s="361">
        <f t="shared" si="3"/>
        <v>1</v>
      </c>
      <c r="X18" s="102"/>
      <c r="Y18" s="102"/>
      <c r="Z18" s="126"/>
      <c r="AA18" s="134"/>
      <c r="AB18" s="101">
        <v>0.2</v>
      </c>
      <c r="AC18" s="143">
        <f t="shared" si="4"/>
        <v>0.05</v>
      </c>
      <c r="AD18" s="143">
        <f t="shared" si="5"/>
        <v>0.05</v>
      </c>
      <c r="AE18" s="144">
        <f t="shared" si="6"/>
        <v>0.08</v>
      </c>
      <c r="AF18" s="140"/>
      <c r="AG18" s="136">
        <f t="shared" si="20"/>
        <v>629779.29143019998</v>
      </c>
      <c r="AH18" s="137">
        <f t="shared" si="7"/>
        <v>329136.44811775157</v>
      </c>
      <c r="AI18" s="136">
        <f t="shared" si="8"/>
        <v>629779</v>
      </c>
      <c r="AJ18" s="137">
        <f t="shared" si="8"/>
        <v>329136</v>
      </c>
      <c r="AK18" s="680">
        <f t="shared" si="9"/>
        <v>958915</v>
      </c>
    </row>
    <row r="19" spans="2:37" s="138" customFormat="1" x14ac:dyDescent="0.35">
      <c r="B19" s="110" t="s">
        <v>281</v>
      </c>
      <c r="C19" s="110" t="s">
        <v>282</v>
      </c>
      <c r="D19" s="108" t="s">
        <v>148</v>
      </c>
      <c r="E19" s="111">
        <v>12345678</v>
      </c>
      <c r="F19" s="139"/>
      <c r="G19" s="104">
        <v>1</v>
      </c>
      <c r="H19" s="102">
        <v>1</v>
      </c>
      <c r="I19" s="102">
        <v>1</v>
      </c>
      <c r="J19" s="105">
        <v>1</v>
      </c>
      <c r="K19" s="105">
        <v>1</v>
      </c>
      <c r="L19" s="102">
        <v>750</v>
      </c>
      <c r="M19" s="102">
        <v>500</v>
      </c>
      <c r="N19" s="102">
        <v>10</v>
      </c>
      <c r="O19" s="102"/>
      <c r="P19" s="105"/>
      <c r="Q19" s="126"/>
      <c r="R19" s="133"/>
      <c r="S19" s="142">
        <f t="shared" si="3"/>
        <v>1</v>
      </c>
      <c r="T19" s="361">
        <f t="shared" si="3"/>
        <v>1</v>
      </c>
      <c r="U19" s="361">
        <f t="shared" si="3"/>
        <v>1</v>
      </c>
      <c r="V19" s="361">
        <f t="shared" si="3"/>
        <v>1</v>
      </c>
      <c r="W19" s="361">
        <f t="shared" si="3"/>
        <v>1</v>
      </c>
      <c r="X19" s="102"/>
      <c r="Y19" s="102"/>
      <c r="Z19" s="126"/>
      <c r="AA19" s="134"/>
      <c r="AB19" s="101">
        <v>0.3</v>
      </c>
      <c r="AC19" s="143">
        <f t="shared" si="4"/>
        <v>0.05</v>
      </c>
      <c r="AD19" s="143">
        <f t="shared" si="5"/>
        <v>0.05</v>
      </c>
      <c r="AE19" s="144">
        <f t="shared" si="6"/>
        <v>0.08</v>
      </c>
      <c r="AF19" s="140"/>
      <c r="AG19" s="136">
        <f>((G19*$G$10)+(H19*$H$10)+(I19*$I$10)+(J19*$J$10)+(K19*$K$10)+(L19*$L$10)+(M19*$M$10)+(N19*$N$10)+(O19*$O$10)+(P19*$P$10)+(Q19*$Q$10))+(((G19*$G$10)+(H19*$H$10)+(I19*$I$10)+(J19*$J$10)+(K19*$K$10)+(L19*$L$10)+(M19*$M$10)+(N19*$N$10)+(O19*$O$10)+(P19*$P$10)+(Q19*$Q$10))*AB19)+(((G19*$G$10)+(H19*$H$10)+(I19*$I$10)+(J19*$J$10)+(K19*$K$10)+(L19*$L$10)+(M19*$M$10)+(N19*$N$10)+(O19*$O$10)+(P19*$P$10)+(Q19*$Q$10))*AC19)+(((G19*$G$10)+(H19*$H$10)+(I19*$I$10)+(J19*$J$10)+(K19*$K$10)+(L19*$L$10)+(M19*$M$10)+(N19*$N$10)+(O19*$O$10)+(P19*$P$10)+(Q19*$Q$10))*AD19)+(((G19*$G$10)+(H19*$H$10)+(I19*$I$10)+(J19*$J$10)+(K19*$K$10)+(L19*$L$10)+(M19*$M$10)+(N19*$N$10)+(O19*$O$10)+(P19*$P$10)+(Q19*$Q$10))*AE19)</f>
        <v>675415.4719686202</v>
      </c>
      <c r="AH19" s="137">
        <f t="shared" si="7"/>
        <v>352986.91537266108</v>
      </c>
      <c r="AI19" s="136">
        <f t="shared" si="8"/>
        <v>675415</v>
      </c>
      <c r="AJ19" s="137">
        <f t="shared" si="8"/>
        <v>352987</v>
      </c>
      <c r="AK19" s="680">
        <f t="shared" si="9"/>
        <v>1028402</v>
      </c>
    </row>
    <row r="20" spans="2:37" s="138" customFormat="1" x14ac:dyDescent="0.35">
      <c r="B20" s="110" t="s">
        <v>281</v>
      </c>
      <c r="C20" s="110" t="s">
        <v>282</v>
      </c>
      <c r="D20" s="108" t="s">
        <v>148</v>
      </c>
      <c r="E20" s="111">
        <v>12345678</v>
      </c>
      <c r="F20" s="139"/>
      <c r="G20" s="104">
        <v>1</v>
      </c>
      <c r="H20" s="102">
        <v>1</v>
      </c>
      <c r="I20" s="102">
        <v>1</v>
      </c>
      <c r="J20" s="105">
        <v>1</v>
      </c>
      <c r="K20" s="105">
        <v>1</v>
      </c>
      <c r="L20" s="102">
        <v>750</v>
      </c>
      <c r="M20" s="102">
        <v>500</v>
      </c>
      <c r="N20" s="102">
        <v>10</v>
      </c>
      <c r="O20" s="102"/>
      <c r="P20" s="105"/>
      <c r="Q20" s="126"/>
      <c r="R20" s="133"/>
      <c r="S20" s="142">
        <f t="shared" si="3"/>
        <v>1</v>
      </c>
      <c r="T20" s="361">
        <f t="shared" si="3"/>
        <v>1</v>
      </c>
      <c r="U20" s="361">
        <f t="shared" si="3"/>
        <v>1</v>
      </c>
      <c r="V20" s="361">
        <f t="shared" si="3"/>
        <v>1</v>
      </c>
      <c r="W20" s="361">
        <f t="shared" si="3"/>
        <v>1</v>
      </c>
      <c r="X20" s="102"/>
      <c r="Y20" s="102"/>
      <c r="Z20" s="126"/>
      <c r="AA20" s="134"/>
      <c r="AB20" s="101">
        <v>0.1</v>
      </c>
      <c r="AC20" s="143">
        <f t="shared" si="4"/>
        <v>0.05</v>
      </c>
      <c r="AD20" s="143">
        <f t="shared" si="5"/>
        <v>0.05</v>
      </c>
      <c r="AE20" s="144">
        <f t="shared" si="6"/>
        <v>0.08</v>
      </c>
      <c r="AF20" s="140"/>
      <c r="AG20" s="136">
        <f t="shared" si="20"/>
        <v>584143.11089177965</v>
      </c>
      <c r="AH20" s="137">
        <f t="shared" si="7"/>
        <v>305285.980862842</v>
      </c>
      <c r="AI20" s="136">
        <f t="shared" si="8"/>
        <v>584143</v>
      </c>
      <c r="AJ20" s="137">
        <f t="shared" si="8"/>
        <v>305286</v>
      </c>
      <c r="AK20" s="680">
        <f t="shared" si="9"/>
        <v>889429</v>
      </c>
    </row>
    <row r="21" spans="2:37" s="138" customFormat="1" x14ac:dyDescent="0.35">
      <c r="B21" s="110" t="s">
        <v>281</v>
      </c>
      <c r="C21" s="110" t="s">
        <v>282</v>
      </c>
      <c r="D21" s="108" t="s">
        <v>148</v>
      </c>
      <c r="E21" s="111">
        <v>12345678</v>
      </c>
      <c r="F21" s="139"/>
      <c r="G21" s="104">
        <v>1</v>
      </c>
      <c r="H21" s="102">
        <v>1</v>
      </c>
      <c r="I21" s="102">
        <v>1</v>
      </c>
      <c r="J21" s="105">
        <v>1</v>
      </c>
      <c r="K21" s="105">
        <v>1</v>
      </c>
      <c r="L21" s="102">
        <v>750</v>
      </c>
      <c r="M21" s="102">
        <v>500</v>
      </c>
      <c r="N21" s="102">
        <v>10</v>
      </c>
      <c r="O21" s="102"/>
      <c r="P21" s="105"/>
      <c r="Q21" s="126"/>
      <c r="R21" s="133"/>
      <c r="S21" s="142">
        <f t="shared" si="3"/>
        <v>1</v>
      </c>
      <c r="T21" s="361">
        <f t="shared" si="3"/>
        <v>1</v>
      </c>
      <c r="U21" s="361">
        <f t="shared" si="3"/>
        <v>1</v>
      </c>
      <c r="V21" s="361">
        <f t="shared" si="3"/>
        <v>1</v>
      </c>
      <c r="W21" s="361">
        <f t="shared" si="3"/>
        <v>1</v>
      </c>
      <c r="X21" s="102"/>
      <c r="Y21" s="102"/>
      <c r="Z21" s="126"/>
      <c r="AA21" s="134"/>
      <c r="AB21" s="101">
        <v>0.2</v>
      </c>
      <c r="AC21" s="143">
        <f t="shared" si="4"/>
        <v>0.05</v>
      </c>
      <c r="AD21" s="143">
        <f t="shared" si="5"/>
        <v>0.05</v>
      </c>
      <c r="AE21" s="144">
        <f t="shared" si="6"/>
        <v>0.08</v>
      </c>
      <c r="AF21" s="140"/>
      <c r="AG21" s="136">
        <f t="shared" si="20"/>
        <v>629779.29143019998</v>
      </c>
      <c r="AH21" s="137">
        <f t="shared" si="7"/>
        <v>329136.44811775157</v>
      </c>
      <c r="AI21" s="136">
        <f t="shared" si="8"/>
        <v>629779</v>
      </c>
      <c r="AJ21" s="137">
        <f t="shared" si="8"/>
        <v>329136</v>
      </c>
      <c r="AK21" s="680">
        <f t="shared" si="9"/>
        <v>958915</v>
      </c>
    </row>
    <row r="22" spans="2:37" s="138" customFormat="1" x14ac:dyDescent="0.35">
      <c r="B22" s="110" t="s">
        <v>281</v>
      </c>
      <c r="C22" s="110" t="s">
        <v>282</v>
      </c>
      <c r="D22" s="108" t="s">
        <v>148</v>
      </c>
      <c r="E22" s="111">
        <v>12345678</v>
      </c>
      <c r="F22" s="139"/>
      <c r="G22" s="104">
        <v>1</v>
      </c>
      <c r="H22" s="102">
        <v>1</v>
      </c>
      <c r="I22" s="102">
        <v>1</v>
      </c>
      <c r="J22" s="105">
        <v>1</v>
      </c>
      <c r="K22" s="105">
        <v>1</v>
      </c>
      <c r="L22" s="102">
        <v>750</v>
      </c>
      <c r="M22" s="102">
        <v>500</v>
      </c>
      <c r="N22" s="102">
        <v>10</v>
      </c>
      <c r="O22" s="102"/>
      <c r="P22" s="105"/>
      <c r="Q22" s="126"/>
      <c r="R22" s="133"/>
      <c r="S22" s="142">
        <f t="shared" si="3"/>
        <v>1</v>
      </c>
      <c r="T22" s="361">
        <f t="shared" si="3"/>
        <v>1</v>
      </c>
      <c r="U22" s="361">
        <f t="shared" si="3"/>
        <v>1</v>
      </c>
      <c r="V22" s="361">
        <f t="shared" si="3"/>
        <v>1</v>
      </c>
      <c r="W22" s="361">
        <f t="shared" si="3"/>
        <v>1</v>
      </c>
      <c r="X22" s="102"/>
      <c r="Y22" s="102"/>
      <c r="Z22" s="126"/>
      <c r="AA22" s="134"/>
      <c r="AB22" s="101">
        <v>0.3</v>
      </c>
      <c r="AC22" s="143">
        <f t="shared" si="4"/>
        <v>0.05</v>
      </c>
      <c r="AD22" s="143">
        <f t="shared" si="5"/>
        <v>0.05</v>
      </c>
      <c r="AE22" s="144">
        <f t="shared" si="6"/>
        <v>0.08</v>
      </c>
      <c r="AF22" s="140"/>
      <c r="AG22" s="136">
        <f t="shared" si="20"/>
        <v>675415.4719686202</v>
      </c>
      <c r="AH22" s="137">
        <f t="shared" si="7"/>
        <v>352986.91537266108</v>
      </c>
      <c r="AI22" s="136">
        <f t="shared" si="8"/>
        <v>675415</v>
      </c>
      <c r="AJ22" s="137">
        <f t="shared" si="8"/>
        <v>352987</v>
      </c>
      <c r="AK22" s="680">
        <f t="shared" si="9"/>
        <v>1028402</v>
      </c>
    </row>
    <row r="23" spans="2:37" s="138" customFormat="1" x14ac:dyDescent="0.35">
      <c r="B23" s="110" t="s">
        <v>281</v>
      </c>
      <c r="C23" s="110" t="s">
        <v>282</v>
      </c>
      <c r="D23" s="108" t="s">
        <v>148</v>
      </c>
      <c r="E23" s="111">
        <v>12345678</v>
      </c>
      <c r="F23" s="139"/>
      <c r="G23" s="104">
        <v>1</v>
      </c>
      <c r="H23" s="102">
        <v>1</v>
      </c>
      <c r="I23" s="102">
        <v>1</v>
      </c>
      <c r="J23" s="105">
        <v>1</v>
      </c>
      <c r="K23" s="105">
        <v>1</v>
      </c>
      <c r="L23" s="102">
        <v>750</v>
      </c>
      <c r="M23" s="102">
        <v>500</v>
      </c>
      <c r="N23" s="102">
        <v>10</v>
      </c>
      <c r="O23" s="102"/>
      <c r="P23" s="105"/>
      <c r="Q23" s="126"/>
      <c r="R23" s="133"/>
      <c r="S23" s="142">
        <f t="shared" si="3"/>
        <v>1</v>
      </c>
      <c r="T23" s="361">
        <f t="shared" si="3"/>
        <v>1</v>
      </c>
      <c r="U23" s="361">
        <f t="shared" si="3"/>
        <v>1</v>
      </c>
      <c r="V23" s="361">
        <f t="shared" si="3"/>
        <v>1</v>
      </c>
      <c r="W23" s="361">
        <f t="shared" si="3"/>
        <v>1</v>
      </c>
      <c r="X23" s="102"/>
      <c r="Y23" s="102"/>
      <c r="Z23" s="126"/>
      <c r="AA23" s="134"/>
      <c r="AB23" s="101">
        <v>0.1</v>
      </c>
      <c r="AC23" s="143">
        <f t="shared" si="4"/>
        <v>0.05</v>
      </c>
      <c r="AD23" s="143">
        <f t="shared" si="5"/>
        <v>0.05</v>
      </c>
      <c r="AE23" s="144">
        <f t="shared" si="6"/>
        <v>0.08</v>
      </c>
      <c r="AF23" s="140"/>
      <c r="AG23" s="136">
        <f t="shared" si="20"/>
        <v>584143.11089177965</v>
      </c>
      <c r="AH23" s="137">
        <f t="shared" si="7"/>
        <v>305285.980862842</v>
      </c>
      <c r="AI23" s="136">
        <f t="shared" si="8"/>
        <v>584143</v>
      </c>
      <c r="AJ23" s="137">
        <f t="shared" si="8"/>
        <v>305286</v>
      </c>
      <c r="AK23" s="680">
        <f t="shared" si="9"/>
        <v>889429</v>
      </c>
    </row>
    <row r="24" spans="2:37" s="138" customFormat="1" x14ac:dyDescent="0.35">
      <c r="B24" s="110" t="s">
        <v>281</v>
      </c>
      <c r="C24" s="110" t="s">
        <v>282</v>
      </c>
      <c r="D24" s="108" t="s">
        <v>148</v>
      </c>
      <c r="E24" s="111">
        <v>12345678</v>
      </c>
      <c r="F24" s="139"/>
      <c r="G24" s="104">
        <v>1</v>
      </c>
      <c r="H24" s="102">
        <v>1</v>
      </c>
      <c r="I24" s="102">
        <v>1</v>
      </c>
      <c r="J24" s="105">
        <v>1</v>
      </c>
      <c r="K24" s="105">
        <v>1</v>
      </c>
      <c r="L24" s="102">
        <v>750</v>
      </c>
      <c r="M24" s="102">
        <v>500</v>
      </c>
      <c r="N24" s="102">
        <v>10</v>
      </c>
      <c r="O24" s="102"/>
      <c r="P24" s="105"/>
      <c r="Q24" s="126"/>
      <c r="R24" s="133"/>
      <c r="S24" s="142">
        <f t="shared" si="3"/>
        <v>1</v>
      </c>
      <c r="T24" s="361">
        <f t="shared" si="3"/>
        <v>1</v>
      </c>
      <c r="U24" s="361">
        <f t="shared" si="3"/>
        <v>1</v>
      </c>
      <c r="V24" s="361">
        <f t="shared" si="3"/>
        <v>1</v>
      </c>
      <c r="W24" s="361">
        <f t="shared" si="3"/>
        <v>1</v>
      </c>
      <c r="X24" s="102"/>
      <c r="Y24" s="102"/>
      <c r="Z24" s="126"/>
      <c r="AA24" s="134"/>
      <c r="AB24" s="101">
        <v>0.2</v>
      </c>
      <c r="AC24" s="143">
        <f t="shared" si="4"/>
        <v>0.05</v>
      </c>
      <c r="AD24" s="143">
        <f t="shared" si="5"/>
        <v>0.05</v>
      </c>
      <c r="AE24" s="144">
        <f t="shared" si="6"/>
        <v>0.08</v>
      </c>
      <c r="AF24" s="140"/>
      <c r="AG24" s="136">
        <f t="shared" si="20"/>
        <v>629779.29143019998</v>
      </c>
      <c r="AH24" s="137">
        <f t="shared" si="7"/>
        <v>329136.44811775157</v>
      </c>
      <c r="AI24" s="136">
        <f t="shared" si="8"/>
        <v>629779</v>
      </c>
      <c r="AJ24" s="137">
        <f t="shared" si="8"/>
        <v>329136</v>
      </c>
      <c r="AK24" s="680">
        <f t="shared" si="9"/>
        <v>958915</v>
      </c>
    </row>
    <row r="25" spans="2:37" s="138" customFormat="1" x14ac:dyDescent="0.35">
      <c r="B25" s="110" t="s">
        <v>281</v>
      </c>
      <c r="C25" s="110" t="s">
        <v>282</v>
      </c>
      <c r="D25" s="108" t="s">
        <v>148</v>
      </c>
      <c r="E25" s="111">
        <v>12345678</v>
      </c>
      <c r="F25" s="139"/>
      <c r="G25" s="104">
        <v>1</v>
      </c>
      <c r="H25" s="102">
        <v>1</v>
      </c>
      <c r="I25" s="102">
        <v>1</v>
      </c>
      <c r="J25" s="105">
        <v>1</v>
      </c>
      <c r="K25" s="105">
        <v>1</v>
      </c>
      <c r="L25" s="102">
        <v>750</v>
      </c>
      <c r="M25" s="102">
        <v>500</v>
      </c>
      <c r="N25" s="102">
        <v>10</v>
      </c>
      <c r="O25" s="103"/>
      <c r="P25" s="106"/>
      <c r="Q25" s="127"/>
      <c r="R25" s="133"/>
      <c r="S25" s="145">
        <f t="shared" si="3"/>
        <v>1</v>
      </c>
      <c r="T25" s="362">
        <f t="shared" si="3"/>
        <v>1</v>
      </c>
      <c r="U25" s="362">
        <f t="shared" si="3"/>
        <v>1</v>
      </c>
      <c r="V25" s="362">
        <f t="shared" si="3"/>
        <v>1</v>
      </c>
      <c r="W25" s="362">
        <f t="shared" si="3"/>
        <v>1</v>
      </c>
      <c r="X25" s="103"/>
      <c r="Y25" s="103"/>
      <c r="Z25" s="127"/>
      <c r="AA25" s="134"/>
      <c r="AB25" s="101">
        <v>0.3</v>
      </c>
      <c r="AC25" s="146">
        <f t="shared" si="4"/>
        <v>0.05</v>
      </c>
      <c r="AD25" s="146">
        <f t="shared" si="5"/>
        <v>0.05</v>
      </c>
      <c r="AE25" s="147">
        <f t="shared" si="6"/>
        <v>0.08</v>
      </c>
      <c r="AF25" s="140"/>
      <c r="AG25" s="136">
        <f t="shared" si="20"/>
        <v>675415.4719686202</v>
      </c>
      <c r="AH25" s="137">
        <f t="shared" si="7"/>
        <v>352986.91537266108</v>
      </c>
      <c r="AI25" s="136">
        <f t="shared" si="8"/>
        <v>675415</v>
      </c>
      <c r="AJ25" s="137">
        <f t="shared" si="8"/>
        <v>352987</v>
      </c>
      <c r="AK25" s="680">
        <f t="shared" si="9"/>
        <v>1028402</v>
      </c>
    </row>
    <row r="26" spans="2:37" s="138" customFormat="1" x14ac:dyDescent="0.35">
      <c r="B26" s="110" t="s">
        <v>281</v>
      </c>
      <c r="C26" s="110" t="s">
        <v>282</v>
      </c>
      <c r="D26" s="108" t="s">
        <v>148</v>
      </c>
      <c r="E26" s="111">
        <v>12345678</v>
      </c>
      <c r="F26" s="139"/>
      <c r="G26" s="104">
        <v>1</v>
      </c>
      <c r="H26" s="102">
        <v>1</v>
      </c>
      <c r="I26" s="102">
        <v>1</v>
      </c>
      <c r="J26" s="105">
        <v>1</v>
      </c>
      <c r="K26" s="105">
        <v>1</v>
      </c>
      <c r="L26" s="102">
        <v>750</v>
      </c>
      <c r="M26" s="102">
        <v>500</v>
      </c>
      <c r="N26" s="102">
        <v>10</v>
      </c>
      <c r="O26" s="103"/>
      <c r="P26" s="106"/>
      <c r="Q26" s="127"/>
      <c r="R26" s="133"/>
      <c r="S26" s="145">
        <f t="shared" si="3"/>
        <v>1</v>
      </c>
      <c r="T26" s="362">
        <f t="shared" si="3"/>
        <v>1</v>
      </c>
      <c r="U26" s="362">
        <f t="shared" si="3"/>
        <v>1</v>
      </c>
      <c r="V26" s="362">
        <f t="shared" si="3"/>
        <v>1</v>
      </c>
      <c r="W26" s="362">
        <f t="shared" si="3"/>
        <v>1</v>
      </c>
      <c r="X26" s="103"/>
      <c r="Y26" s="103"/>
      <c r="Z26" s="127"/>
      <c r="AA26" s="134"/>
      <c r="AB26" s="101">
        <v>0.1</v>
      </c>
      <c r="AC26" s="146">
        <f t="shared" si="4"/>
        <v>0.05</v>
      </c>
      <c r="AD26" s="146">
        <f t="shared" si="5"/>
        <v>0.05</v>
      </c>
      <c r="AE26" s="147">
        <f t="shared" si="6"/>
        <v>0.08</v>
      </c>
      <c r="AF26" s="140"/>
      <c r="AG26" s="136">
        <f t="shared" si="20"/>
        <v>584143.11089177965</v>
      </c>
      <c r="AH26" s="137">
        <f t="shared" si="7"/>
        <v>305285.980862842</v>
      </c>
      <c r="AI26" s="136">
        <f t="shared" si="8"/>
        <v>584143</v>
      </c>
      <c r="AJ26" s="137">
        <f t="shared" si="8"/>
        <v>305286</v>
      </c>
      <c r="AK26" s="680">
        <f>ROUND(SUM(AI26:AJ26),0)</f>
        <v>889429</v>
      </c>
    </row>
    <row r="27" spans="2:37" s="138" customFormat="1" x14ac:dyDescent="0.35">
      <c r="B27" s="112" t="s">
        <v>281</v>
      </c>
      <c r="C27" s="112" t="s">
        <v>282</v>
      </c>
      <c r="D27" s="108" t="s">
        <v>148</v>
      </c>
      <c r="E27" s="109">
        <v>12345678</v>
      </c>
      <c r="F27" s="139"/>
      <c r="G27" s="104">
        <v>1</v>
      </c>
      <c r="H27" s="102">
        <v>1</v>
      </c>
      <c r="I27" s="102">
        <v>1</v>
      </c>
      <c r="J27" s="105">
        <v>1</v>
      </c>
      <c r="K27" s="105">
        <v>1</v>
      </c>
      <c r="L27" s="102">
        <v>750</v>
      </c>
      <c r="M27" s="102">
        <v>500</v>
      </c>
      <c r="N27" s="102">
        <v>10</v>
      </c>
      <c r="O27" s="103"/>
      <c r="P27" s="106"/>
      <c r="Q27" s="127"/>
      <c r="R27" s="133"/>
      <c r="S27" s="145">
        <f t="shared" si="3"/>
        <v>1</v>
      </c>
      <c r="T27" s="362">
        <f t="shared" si="3"/>
        <v>1</v>
      </c>
      <c r="U27" s="362">
        <f t="shared" si="3"/>
        <v>1</v>
      </c>
      <c r="V27" s="362">
        <f t="shared" si="3"/>
        <v>1</v>
      </c>
      <c r="W27" s="362">
        <f t="shared" si="3"/>
        <v>1</v>
      </c>
      <c r="X27" s="103"/>
      <c r="Y27" s="103"/>
      <c r="Z27" s="127"/>
      <c r="AA27" s="134"/>
      <c r="AB27" s="101">
        <v>0.2</v>
      </c>
      <c r="AC27" s="146">
        <f t="shared" si="4"/>
        <v>0.05</v>
      </c>
      <c r="AD27" s="146">
        <f t="shared" si="5"/>
        <v>0.05</v>
      </c>
      <c r="AE27" s="147">
        <f t="shared" si="6"/>
        <v>0.08</v>
      </c>
      <c r="AF27" s="140"/>
      <c r="AG27" s="136">
        <f t="shared" si="20"/>
        <v>629779.29143019998</v>
      </c>
      <c r="AH27" s="137">
        <f t="shared" si="7"/>
        <v>329136.44811775157</v>
      </c>
      <c r="AI27" s="136">
        <f t="shared" si="8"/>
        <v>629779</v>
      </c>
      <c r="AJ27" s="137">
        <f t="shared" si="8"/>
        <v>329136</v>
      </c>
      <c r="AK27" s="680">
        <f t="shared" si="9"/>
        <v>958915</v>
      </c>
    </row>
    <row r="28" spans="2:37" s="138" customFormat="1" x14ac:dyDescent="0.35">
      <c r="B28" s="110" t="s">
        <v>281</v>
      </c>
      <c r="C28" s="110" t="s">
        <v>282</v>
      </c>
      <c r="D28" s="108" t="s">
        <v>148</v>
      </c>
      <c r="E28" s="111">
        <v>12345678</v>
      </c>
      <c r="F28" s="139"/>
      <c r="G28" s="104">
        <v>1</v>
      </c>
      <c r="H28" s="102">
        <v>1</v>
      </c>
      <c r="I28" s="102">
        <v>1</v>
      </c>
      <c r="J28" s="105">
        <v>1</v>
      </c>
      <c r="K28" s="105">
        <v>1</v>
      </c>
      <c r="L28" s="102">
        <v>750</v>
      </c>
      <c r="M28" s="102">
        <v>500</v>
      </c>
      <c r="N28" s="102">
        <v>10</v>
      </c>
      <c r="O28" s="103"/>
      <c r="P28" s="106"/>
      <c r="Q28" s="127"/>
      <c r="R28" s="133"/>
      <c r="S28" s="145">
        <f t="shared" si="3"/>
        <v>1</v>
      </c>
      <c r="T28" s="362">
        <f t="shared" si="3"/>
        <v>1</v>
      </c>
      <c r="U28" s="362">
        <f t="shared" si="3"/>
        <v>1</v>
      </c>
      <c r="V28" s="362">
        <f t="shared" si="3"/>
        <v>1</v>
      </c>
      <c r="W28" s="362">
        <f t="shared" si="3"/>
        <v>1</v>
      </c>
      <c r="X28" s="103"/>
      <c r="Y28" s="103"/>
      <c r="Z28" s="127"/>
      <c r="AA28" s="134"/>
      <c r="AB28" s="101">
        <v>0.3</v>
      </c>
      <c r="AC28" s="146">
        <f t="shared" si="4"/>
        <v>0.05</v>
      </c>
      <c r="AD28" s="146">
        <f t="shared" si="5"/>
        <v>0.05</v>
      </c>
      <c r="AE28" s="147">
        <f t="shared" si="6"/>
        <v>0.08</v>
      </c>
      <c r="AF28" s="140"/>
      <c r="AG28" s="136">
        <f t="shared" si="20"/>
        <v>675415.4719686202</v>
      </c>
      <c r="AH28" s="137">
        <f t="shared" si="7"/>
        <v>352986.91537266108</v>
      </c>
      <c r="AI28" s="136">
        <f t="shared" si="8"/>
        <v>675415</v>
      </c>
      <c r="AJ28" s="137">
        <f t="shared" si="8"/>
        <v>352987</v>
      </c>
      <c r="AK28" s="680">
        <f t="shared" si="9"/>
        <v>1028402</v>
      </c>
    </row>
    <row r="29" spans="2:37" s="138" customFormat="1" x14ac:dyDescent="0.35">
      <c r="B29" s="112" t="s">
        <v>281</v>
      </c>
      <c r="C29" s="112" t="s">
        <v>282</v>
      </c>
      <c r="D29" s="108" t="s">
        <v>394</v>
      </c>
      <c r="E29" s="109">
        <v>12345678</v>
      </c>
      <c r="F29" s="139"/>
      <c r="G29" s="104"/>
      <c r="H29" s="102"/>
      <c r="I29" s="102"/>
      <c r="J29" s="105"/>
      <c r="K29" s="105"/>
      <c r="L29" s="102"/>
      <c r="M29" s="102"/>
      <c r="N29" s="102"/>
      <c r="O29" s="103"/>
      <c r="P29" s="106"/>
      <c r="Q29" s="127"/>
      <c r="R29" s="133"/>
      <c r="S29" s="145">
        <f t="shared" si="3"/>
        <v>0</v>
      </c>
      <c r="T29" s="362">
        <f t="shared" si="3"/>
        <v>0</v>
      </c>
      <c r="U29" s="362">
        <f t="shared" si="3"/>
        <v>0</v>
      </c>
      <c r="V29" s="362">
        <f t="shared" si="3"/>
        <v>0</v>
      </c>
      <c r="W29" s="362">
        <f t="shared" si="3"/>
        <v>0</v>
      </c>
      <c r="X29" s="103">
        <v>75000</v>
      </c>
      <c r="Y29" s="103"/>
      <c r="Z29" s="127"/>
      <c r="AA29" s="134"/>
      <c r="AB29" s="101">
        <v>0.3</v>
      </c>
      <c r="AC29" s="146">
        <f t="shared" si="4"/>
        <v>0.05</v>
      </c>
      <c r="AD29" s="146">
        <f t="shared" si="5"/>
        <v>0.05</v>
      </c>
      <c r="AE29" s="147">
        <f t="shared" si="6"/>
        <v>0.08</v>
      </c>
      <c r="AF29" s="140"/>
      <c r="AG29" s="136">
        <f t="shared" si="20"/>
        <v>0</v>
      </c>
      <c r="AH29" s="137">
        <f t="shared" si="7"/>
        <v>566172.01838613884</v>
      </c>
      <c r="AI29" s="136">
        <f t="shared" si="8"/>
        <v>0</v>
      </c>
      <c r="AJ29" s="137">
        <f t="shared" si="8"/>
        <v>566172</v>
      </c>
      <c r="AK29" s="680">
        <f t="shared" si="9"/>
        <v>566172</v>
      </c>
    </row>
    <row r="30" spans="2:37" s="138" customFormat="1" x14ac:dyDescent="0.35">
      <c r="B30" s="110" t="s">
        <v>281</v>
      </c>
      <c r="C30" s="110" t="s">
        <v>282</v>
      </c>
      <c r="D30" s="108" t="s">
        <v>395</v>
      </c>
      <c r="E30" s="111">
        <v>12345678</v>
      </c>
      <c r="F30" s="139"/>
      <c r="G30" s="104"/>
      <c r="H30" s="102"/>
      <c r="I30" s="102"/>
      <c r="J30" s="105"/>
      <c r="K30" s="105"/>
      <c r="L30" s="102">
        <v>10000</v>
      </c>
      <c r="M30" s="102">
        <v>5000</v>
      </c>
      <c r="N30" s="102"/>
      <c r="O30" s="103"/>
      <c r="P30" s="106"/>
      <c r="Q30" s="127"/>
      <c r="R30" s="133"/>
      <c r="S30" s="145">
        <f t="shared" si="3"/>
        <v>0</v>
      </c>
      <c r="T30" s="362">
        <f t="shared" si="3"/>
        <v>0</v>
      </c>
      <c r="U30" s="362">
        <f t="shared" si="3"/>
        <v>0</v>
      </c>
      <c r="V30" s="362">
        <f t="shared" si="3"/>
        <v>0</v>
      </c>
      <c r="W30" s="362">
        <f t="shared" si="3"/>
        <v>0</v>
      </c>
      <c r="X30" s="103"/>
      <c r="Y30" s="103"/>
      <c r="Z30" s="127"/>
      <c r="AA30" s="134"/>
      <c r="AB30" s="101">
        <v>0.3</v>
      </c>
      <c r="AC30" s="146">
        <f t="shared" si="4"/>
        <v>0.05</v>
      </c>
      <c r="AD30" s="146">
        <f t="shared" si="5"/>
        <v>0.05</v>
      </c>
      <c r="AE30" s="147">
        <f t="shared" si="6"/>
        <v>0.08</v>
      </c>
      <c r="AF30" s="140"/>
      <c r="AG30" s="136">
        <f t="shared" si="20"/>
        <v>449831.76469146542</v>
      </c>
      <c r="AH30" s="137">
        <f t="shared" si="7"/>
        <v>0</v>
      </c>
      <c r="AI30" s="136">
        <f t="shared" si="8"/>
        <v>449832</v>
      </c>
      <c r="AJ30" s="137">
        <f t="shared" si="8"/>
        <v>0</v>
      </c>
      <c r="AK30" s="680">
        <f t="shared" si="9"/>
        <v>449832</v>
      </c>
    </row>
    <row r="31" spans="2:37" s="691" customFormat="1" x14ac:dyDescent="0.35">
      <c r="B31" s="681"/>
      <c r="C31" s="682" t="s">
        <v>149</v>
      </c>
      <c r="D31" s="683"/>
      <c r="E31" s="684"/>
      <c r="F31" s="8"/>
      <c r="G31" s="681"/>
      <c r="H31" s="683"/>
      <c r="I31" s="683"/>
      <c r="J31" s="683" t="s">
        <v>149</v>
      </c>
      <c r="K31" s="683"/>
      <c r="L31" s="683"/>
      <c r="M31" s="683"/>
      <c r="N31" s="683"/>
      <c r="O31" s="683"/>
      <c r="P31" s="683"/>
      <c r="Q31" s="684"/>
      <c r="R31" s="685"/>
      <c r="S31" s="681"/>
      <c r="T31" s="683"/>
      <c r="U31" s="683" t="s">
        <v>149</v>
      </c>
      <c r="V31" s="683"/>
      <c r="W31" s="683"/>
      <c r="X31" s="683"/>
      <c r="Y31" s="683"/>
      <c r="Z31" s="684"/>
      <c r="AA31" s="686"/>
      <c r="AB31" s="681" t="s">
        <v>149</v>
      </c>
      <c r="AC31" s="683"/>
      <c r="AD31" s="683"/>
      <c r="AE31" s="684"/>
      <c r="AF31" s="687"/>
      <c r="AG31" s="688"/>
      <c r="AH31" s="689"/>
      <c r="AI31" s="688"/>
      <c r="AJ31" s="689"/>
      <c r="AK31" s="690"/>
    </row>
    <row r="32" spans="2:37" ht="17" x14ac:dyDescent="0.35">
      <c r="B32" s="692"/>
      <c r="C32" s="693"/>
      <c r="D32" s="693"/>
      <c r="E32" s="694" t="s">
        <v>136</v>
      </c>
      <c r="F32" s="695"/>
      <c r="G32" s="696">
        <f t="shared" ref="G32:Q32" si="21">IF(SUM(G13:G31)=0,"",SUM(G13:G31))</f>
        <v>15</v>
      </c>
      <c r="H32" s="697">
        <f t="shared" si="21"/>
        <v>15</v>
      </c>
      <c r="I32" s="697">
        <f t="shared" si="21"/>
        <v>15</v>
      </c>
      <c r="J32" s="697">
        <f t="shared" si="21"/>
        <v>15</v>
      </c>
      <c r="K32" s="697">
        <f t="shared" si="21"/>
        <v>15</v>
      </c>
      <c r="L32" s="697">
        <f t="shared" si="21"/>
        <v>21250</v>
      </c>
      <c r="M32" s="697">
        <f t="shared" si="21"/>
        <v>12500</v>
      </c>
      <c r="N32" s="697">
        <f t="shared" si="21"/>
        <v>150</v>
      </c>
      <c r="O32" s="697" t="str">
        <f t="shared" si="21"/>
        <v/>
      </c>
      <c r="P32" s="697" t="str">
        <f t="shared" si="21"/>
        <v/>
      </c>
      <c r="Q32" s="698" t="str">
        <f t="shared" si="21"/>
        <v/>
      </c>
      <c r="R32" s="691"/>
      <c r="S32" s="696">
        <f t="shared" ref="S32:Z32" si="22">IF(SUM(S13:S31)=0,"",SUM(S13:S31))</f>
        <v>15</v>
      </c>
      <c r="T32" s="697">
        <f t="shared" si="22"/>
        <v>15</v>
      </c>
      <c r="U32" s="697">
        <f t="shared" si="22"/>
        <v>15</v>
      </c>
      <c r="V32" s="697">
        <f t="shared" si="22"/>
        <v>15</v>
      </c>
      <c r="W32" s="697">
        <f t="shared" si="22"/>
        <v>15</v>
      </c>
      <c r="X32" s="697">
        <f t="shared" si="22"/>
        <v>75000</v>
      </c>
      <c r="Y32" s="697" t="str">
        <f t="shared" si="22"/>
        <v/>
      </c>
      <c r="Z32" s="698" t="str">
        <f t="shared" si="22"/>
        <v/>
      </c>
      <c r="AA32" s="699"/>
      <c r="AB32" s="700"/>
      <c r="AC32" s="701"/>
      <c r="AD32" s="701"/>
      <c r="AE32" s="702"/>
      <c r="AF32" s="699"/>
      <c r="AG32" s="703">
        <f>IF(SUM(AG13:AG31)=0,"",SUM(AG13:AG31))</f>
        <v>9896521.1361444648</v>
      </c>
      <c r="AH32" s="704">
        <f>IF(SUM(AH13:AH31)=0,"",SUM(AH13:AH31))</f>
        <v>5503218.7401524121</v>
      </c>
      <c r="AI32" s="705">
        <f>ROUND(AG32,0)</f>
        <v>9896521</v>
      </c>
      <c r="AJ32" s="706">
        <f>ROUND(AH32,0)</f>
        <v>5503219</v>
      </c>
      <c r="AK32" s="707">
        <f>ROUND(SUM(AI32:AJ32),0)</f>
        <v>15399740</v>
      </c>
    </row>
    <row r="34" spans="1:37" x14ac:dyDescent="0.35">
      <c r="B34" s="88" t="s">
        <v>127</v>
      </c>
      <c r="C34" s="88"/>
      <c r="D34" s="88"/>
      <c r="E34" s="88"/>
      <c r="F34" s="88"/>
      <c r="G34" s="88"/>
      <c r="H34" s="88"/>
      <c r="I34" s="88"/>
      <c r="J34" s="88"/>
      <c r="K34" s="88"/>
      <c r="L34" s="88"/>
      <c r="M34" s="88"/>
      <c r="N34" s="88"/>
      <c r="O34" s="88"/>
      <c r="P34" s="88"/>
      <c r="Q34" s="88"/>
      <c r="S34" s="708" t="s">
        <v>128</v>
      </c>
      <c r="T34" s="709" t="s">
        <v>150</v>
      </c>
      <c r="U34" s="709"/>
      <c r="W34" s="710" t="s">
        <v>251</v>
      </c>
      <c r="X34" s="711"/>
      <c r="Y34" s="711"/>
      <c r="Z34" s="711"/>
      <c r="AA34" s="711"/>
      <c r="AB34" s="711"/>
      <c r="AC34" s="711"/>
      <c r="AD34" s="711"/>
    </row>
    <row r="35" spans="1:37" x14ac:dyDescent="0.35">
      <c r="B35" s="891" t="s">
        <v>189</v>
      </c>
      <c r="C35" s="891"/>
      <c r="D35" s="891"/>
      <c r="E35" s="891"/>
      <c r="F35" s="891"/>
      <c r="G35" s="891"/>
      <c r="H35" s="891"/>
      <c r="I35" s="891"/>
      <c r="J35" s="891"/>
      <c r="K35" s="891"/>
      <c r="L35" s="891"/>
      <c r="M35" s="891"/>
      <c r="N35" s="891"/>
      <c r="O35" s="891"/>
      <c r="P35" s="891"/>
      <c r="Q35" s="891"/>
      <c r="S35" s="74" t="s">
        <v>107</v>
      </c>
      <c r="T35" s="712" t="s">
        <v>151</v>
      </c>
      <c r="U35" s="713"/>
    </row>
    <row r="36" spans="1:37" x14ac:dyDescent="0.35">
      <c r="B36" s="891"/>
      <c r="C36" s="891"/>
      <c r="D36" s="891"/>
      <c r="E36" s="891"/>
      <c r="F36" s="891"/>
      <c r="G36" s="891"/>
      <c r="H36" s="891"/>
      <c r="I36" s="891"/>
      <c r="J36" s="891"/>
      <c r="K36" s="891"/>
      <c r="L36" s="891"/>
      <c r="M36" s="891"/>
      <c r="N36" s="891"/>
      <c r="O36" s="891"/>
      <c r="P36" s="891"/>
      <c r="Q36" s="891"/>
      <c r="S36" s="74" t="s">
        <v>95</v>
      </c>
      <c r="T36" s="712" t="s">
        <v>152</v>
      </c>
      <c r="U36" s="713"/>
    </row>
    <row r="37" spans="1:37" x14ac:dyDescent="0.35">
      <c r="B37" s="891"/>
      <c r="C37" s="891"/>
      <c r="D37" s="891"/>
      <c r="E37" s="891"/>
      <c r="F37" s="891"/>
      <c r="G37" s="891"/>
      <c r="H37" s="891"/>
      <c r="I37" s="891"/>
      <c r="J37" s="891"/>
      <c r="K37" s="891"/>
      <c r="L37" s="891"/>
      <c r="M37" s="891"/>
      <c r="N37" s="891"/>
      <c r="O37" s="891"/>
      <c r="P37" s="891"/>
      <c r="Q37" s="891"/>
      <c r="S37" s="74" t="s">
        <v>101</v>
      </c>
      <c r="T37" s="712" t="s">
        <v>153</v>
      </c>
      <c r="U37" s="713"/>
    </row>
    <row r="38" spans="1:37" x14ac:dyDescent="0.35">
      <c r="B38" s="891"/>
      <c r="C38" s="891"/>
      <c r="D38" s="891"/>
      <c r="E38" s="891"/>
      <c r="F38" s="891"/>
      <c r="G38" s="891"/>
      <c r="H38" s="891"/>
      <c r="I38" s="891"/>
      <c r="J38" s="891"/>
      <c r="K38" s="891"/>
      <c r="L38" s="891"/>
      <c r="M38" s="891"/>
      <c r="N38" s="891"/>
      <c r="O38" s="891"/>
      <c r="P38" s="891"/>
      <c r="Q38" s="891"/>
      <c r="S38" s="74" t="s">
        <v>137</v>
      </c>
      <c r="T38" s="712" t="s">
        <v>154</v>
      </c>
      <c r="U38" s="713"/>
    </row>
    <row r="39" spans="1:37" x14ac:dyDescent="0.35">
      <c r="B39" s="891"/>
      <c r="C39" s="891"/>
      <c r="D39" s="891"/>
      <c r="E39" s="891"/>
      <c r="F39" s="891"/>
      <c r="G39" s="891"/>
      <c r="H39" s="891"/>
      <c r="I39" s="891"/>
      <c r="J39" s="891"/>
      <c r="K39" s="891"/>
      <c r="L39" s="891"/>
      <c r="M39" s="891"/>
      <c r="N39" s="891"/>
      <c r="O39" s="891"/>
      <c r="P39" s="891"/>
      <c r="Q39" s="891"/>
      <c r="S39" s="74" t="s">
        <v>104</v>
      </c>
      <c r="T39" s="712" t="s">
        <v>340</v>
      </c>
      <c r="U39" s="713"/>
    </row>
    <row r="40" spans="1:37" x14ac:dyDescent="0.35">
      <c r="B40" s="891"/>
      <c r="C40" s="891"/>
      <c r="D40" s="891"/>
      <c r="E40" s="891"/>
      <c r="F40" s="891"/>
      <c r="G40" s="891"/>
      <c r="H40" s="891"/>
      <c r="I40" s="891"/>
      <c r="J40" s="891"/>
      <c r="K40" s="891"/>
      <c r="L40" s="891"/>
      <c r="M40" s="891"/>
      <c r="N40" s="891"/>
      <c r="O40" s="891"/>
      <c r="P40" s="891"/>
      <c r="Q40" s="891"/>
      <c r="S40" s="74" t="s">
        <v>118</v>
      </c>
      <c r="T40" s="712" t="s">
        <v>155</v>
      </c>
      <c r="U40" s="713"/>
    </row>
    <row r="41" spans="1:37" x14ac:dyDescent="0.35">
      <c r="B41" s="891"/>
      <c r="C41" s="891"/>
      <c r="D41" s="891"/>
      <c r="E41" s="891"/>
      <c r="F41" s="891"/>
      <c r="G41" s="891"/>
      <c r="H41" s="891"/>
      <c r="I41" s="891"/>
      <c r="J41" s="891"/>
      <c r="K41" s="891"/>
      <c r="L41" s="891"/>
      <c r="M41" s="891"/>
      <c r="N41" s="891"/>
      <c r="O41" s="891"/>
      <c r="P41" s="891"/>
      <c r="Q41" s="891"/>
      <c r="S41" s="74" t="s">
        <v>112</v>
      </c>
      <c r="T41" s="712" t="s">
        <v>156</v>
      </c>
      <c r="U41" s="713"/>
    </row>
    <row r="44" spans="1:37" s="3" customFormat="1" hidden="1" x14ac:dyDescent="0.35">
      <c r="A44" s="130"/>
      <c r="B44" s="897"/>
      <c r="C44" s="898"/>
      <c r="D44" s="897"/>
      <c r="E44" s="897"/>
      <c r="F44" s="897"/>
      <c r="G44" s="897"/>
      <c r="H44" s="897"/>
      <c r="I44" s="899"/>
      <c r="J44" s="899"/>
      <c r="K44" s="899"/>
      <c r="L44" s="895"/>
      <c r="M44" s="895"/>
      <c r="N44" s="895"/>
      <c r="O44" s="895"/>
      <c r="P44" s="895"/>
      <c r="R44" s="130"/>
      <c r="S44" s="714" t="s">
        <v>202</v>
      </c>
      <c r="T44" s="709"/>
      <c r="AK44" s="130"/>
    </row>
    <row r="45" spans="1:37" s="3" customFormat="1" hidden="1" x14ac:dyDescent="0.35">
      <c r="A45" s="130"/>
      <c r="B45" s="897"/>
      <c r="C45" s="897"/>
      <c r="D45" s="898"/>
      <c r="E45" s="894"/>
      <c r="F45" s="894"/>
      <c r="G45" s="900"/>
      <c r="H45" s="900"/>
      <c r="I45" s="900"/>
      <c r="J45" s="900"/>
      <c r="K45" s="901"/>
      <c r="L45" s="895"/>
      <c r="M45" s="895"/>
      <c r="N45" s="895"/>
      <c r="O45" s="895"/>
      <c r="P45" s="895"/>
      <c r="R45" s="130"/>
      <c r="S45" s="74" t="s">
        <v>203</v>
      </c>
      <c r="T45" s="715">
        <v>0.05</v>
      </c>
      <c r="AK45" s="130"/>
    </row>
    <row r="46" spans="1:37" s="3" customFormat="1" hidden="1" x14ac:dyDescent="0.35">
      <c r="A46" s="130"/>
      <c r="B46" s="902"/>
      <c r="C46" s="896"/>
      <c r="D46" s="895"/>
      <c r="E46" s="894"/>
      <c r="F46" s="894"/>
      <c r="G46" s="892"/>
      <c r="H46" s="892"/>
      <c r="I46" s="892"/>
      <c r="J46" s="892"/>
      <c r="K46" s="893"/>
      <c r="L46" s="894"/>
      <c r="M46" s="894"/>
      <c r="N46" s="894"/>
      <c r="O46" s="894"/>
      <c r="P46" s="895"/>
      <c r="R46" s="130"/>
      <c r="S46" s="74" t="s">
        <v>204</v>
      </c>
      <c r="T46" s="715">
        <v>0.05</v>
      </c>
      <c r="AK46" s="130"/>
    </row>
    <row r="47" spans="1:37" s="3" customFormat="1" hidden="1" x14ac:dyDescent="0.35">
      <c r="A47" s="130"/>
      <c r="B47" s="902"/>
      <c r="C47" s="896"/>
      <c r="D47" s="895"/>
      <c r="E47" s="894"/>
      <c r="F47" s="894"/>
      <c r="G47" s="892"/>
      <c r="H47" s="892"/>
      <c r="I47" s="892"/>
      <c r="J47" s="892"/>
      <c r="K47" s="893"/>
      <c r="L47" s="894"/>
      <c r="M47" s="894"/>
      <c r="N47" s="894"/>
      <c r="O47" s="894"/>
      <c r="P47" s="895"/>
      <c r="R47" s="130"/>
      <c r="S47" s="74" t="s">
        <v>205</v>
      </c>
      <c r="T47" s="715">
        <v>0.08</v>
      </c>
      <c r="AK47" s="130"/>
    </row>
    <row r="48" spans="1:37" s="3" customFormat="1" x14ac:dyDescent="0.35">
      <c r="A48" s="130"/>
      <c r="B48" s="902"/>
      <c r="C48" s="896"/>
      <c r="D48" s="895"/>
      <c r="E48" s="894"/>
      <c r="F48" s="894"/>
      <c r="G48" s="892"/>
      <c r="H48" s="892"/>
      <c r="I48" s="892"/>
      <c r="J48" s="892"/>
      <c r="K48" s="896"/>
      <c r="L48" s="896"/>
      <c r="M48" s="896"/>
      <c r="N48" s="896"/>
      <c r="O48" s="896"/>
      <c r="P48" s="895"/>
      <c r="R48" s="130"/>
      <c r="S48" s="716"/>
      <c r="T48" s="716"/>
      <c r="AK48" s="130"/>
    </row>
    <row r="49" spans="1:37" s="3" customFormat="1" x14ac:dyDescent="0.35">
      <c r="A49" s="130"/>
      <c r="B49" s="903"/>
      <c r="C49" s="896"/>
      <c r="D49" s="895"/>
      <c r="E49" s="894"/>
      <c r="F49" s="894"/>
      <c r="G49" s="892"/>
      <c r="H49" s="894"/>
      <c r="I49" s="892"/>
      <c r="J49" s="894"/>
      <c r="K49" s="896"/>
      <c r="L49" s="896"/>
      <c r="M49" s="896"/>
      <c r="N49" s="896"/>
      <c r="O49" s="896"/>
      <c r="P49" s="895"/>
      <c r="R49" s="130"/>
      <c r="S49" s="716"/>
      <c r="T49" s="716"/>
      <c r="AK49" s="130"/>
    </row>
    <row r="50" spans="1:37" s="3" customFormat="1" x14ac:dyDescent="0.35">
      <c r="A50" s="130"/>
      <c r="B50" s="896"/>
      <c r="C50" s="897"/>
      <c r="D50" s="898"/>
      <c r="E50" s="894"/>
      <c r="F50" s="894"/>
      <c r="G50" s="892"/>
      <c r="H50" s="894"/>
      <c r="I50" s="892"/>
      <c r="J50" s="894"/>
      <c r="K50" s="896"/>
      <c r="L50" s="896"/>
      <c r="M50" s="896"/>
      <c r="N50" s="896"/>
      <c r="O50" s="896"/>
      <c r="P50" s="895"/>
      <c r="R50" s="130"/>
      <c r="S50" s="716"/>
      <c r="T50" s="716"/>
      <c r="AK50" s="130"/>
    </row>
    <row r="51" spans="1:37" s="3" customFormat="1" x14ac:dyDescent="0.35">
      <c r="A51" s="130"/>
      <c r="B51" s="897"/>
      <c r="C51" s="897"/>
      <c r="D51" s="898"/>
      <c r="E51" s="894"/>
      <c r="F51" s="894"/>
      <c r="G51" s="892"/>
      <c r="H51" s="894"/>
      <c r="I51" s="892"/>
      <c r="J51" s="894"/>
      <c r="K51" s="896"/>
      <c r="L51" s="896"/>
      <c r="M51" s="896"/>
      <c r="N51" s="896"/>
      <c r="O51" s="896"/>
      <c r="P51" s="895"/>
      <c r="R51" s="130"/>
      <c r="S51" s="716"/>
      <c r="T51" s="716"/>
      <c r="AK51" s="130"/>
    </row>
    <row r="52" spans="1:37" s="3" customFormat="1" x14ac:dyDescent="0.35">
      <c r="A52" s="130"/>
      <c r="B52" s="903"/>
      <c r="C52" s="896"/>
      <c r="D52" s="895"/>
      <c r="E52" s="894"/>
      <c r="F52" s="894"/>
      <c r="G52" s="892"/>
      <c r="H52" s="894"/>
      <c r="I52" s="892"/>
      <c r="J52" s="894"/>
      <c r="K52" s="896"/>
      <c r="L52" s="896"/>
      <c r="M52" s="896"/>
      <c r="N52" s="896"/>
      <c r="O52" s="896"/>
      <c r="P52" s="895"/>
      <c r="R52" s="130"/>
      <c r="AK52" s="130"/>
    </row>
    <row r="53" spans="1:37" s="3" customFormat="1" x14ac:dyDescent="0.35">
      <c r="A53" s="130"/>
      <c r="B53" s="903"/>
      <c r="C53" s="896"/>
      <c r="D53" s="895"/>
      <c r="E53" s="894"/>
      <c r="F53" s="894"/>
      <c r="G53" s="892"/>
      <c r="H53" s="894"/>
      <c r="I53" s="892"/>
      <c r="J53" s="892"/>
      <c r="K53" s="896"/>
      <c r="L53" s="896"/>
      <c r="M53" s="896"/>
      <c r="N53" s="896"/>
      <c r="O53" s="896"/>
      <c r="P53" s="895"/>
      <c r="R53" s="130"/>
      <c r="AK53" s="130"/>
    </row>
    <row r="54" spans="1:37" s="3" customFormat="1" x14ac:dyDescent="0.35">
      <c r="A54" s="130"/>
      <c r="B54" s="903"/>
      <c r="C54" s="896"/>
      <c r="D54" s="895"/>
      <c r="E54" s="894"/>
      <c r="F54" s="894"/>
      <c r="G54" s="892"/>
      <c r="H54" s="892"/>
      <c r="I54" s="894"/>
      <c r="J54" s="896"/>
      <c r="K54" s="896"/>
      <c r="L54" s="896"/>
      <c r="M54" s="896"/>
      <c r="N54" s="896"/>
      <c r="O54" s="896"/>
      <c r="P54" s="895"/>
      <c r="R54" s="130"/>
      <c r="AK54" s="130"/>
    </row>
    <row r="55" spans="1:37" s="3" customFormat="1" x14ac:dyDescent="0.35">
      <c r="A55" s="130"/>
      <c r="B55" s="903"/>
      <c r="C55" s="896"/>
      <c r="D55" s="895"/>
      <c r="E55" s="894"/>
      <c r="F55" s="894"/>
      <c r="G55" s="892"/>
      <c r="H55" s="892"/>
      <c r="I55" s="894"/>
      <c r="J55" s="894"/>
      <c r="K55" s="896"/>
      <c r="L55" s="896"/>
      <c r="M55" s="896"/>
      <c r="N55" s="896"/>
      <c r="O55" s="896"/>
      <c r="P55" s="895"/>
      <c r="R55" s="130"/>
      <c r="AK55" s="130"/>
    </row>
    <row r="56" spans="1:37" s="3" customFormat="1" x14ac:dyDescent="0.35">
      <c r="A56" s="130"/>
      <c r="B56" s="903"/>
      <c r="C56" s="896"/>
      <c r="D56" s="895"/>
      <c r="E56" s="894"/>
      <c r="F56" s="894"/>
      <c r="G56" s="892"/>
      <c r="H56" s="892"/>
      <c r="I56" s="894"/>
      <c r="J56" s="894"/>
      <c r="K56" s="896"/>
      <c r="L56" s="896"/>
      <c r="M56" s="896"/>
      <c r="N56" s="896"/>
      <c r="O56" s="896"/>
      <c r="P56" s="895"/>
      <c r="R56" s="130"/>
      <c r="AK56" s="130"/>
    </row>
    <row r="57" spans="1:37" s="3" customFormat="1" x14ac:dyDescent="0.35">
      <c r="A57" s="130"/>
      <c r="B57" s="903"/>
      <c r="C57" s="896"/>
      <c r="D57" s="895"/>
      <c r="E57" s="894"/>
      <c r="F57" s="894"/>
      <c r="G57" s="892"/>
      <c r="H57" s="892"/>
      <c r="I57" s="894"/>
      <c r="J57" s="894"/>
      <c r="K57" s="896"/>
      <c r="L57" s="896"/>
      <c r="M57" s="896"/>
      <c r="N57" s="896"/>
      <c r="O57" s="896"/>
      <c r="P57" s="895"/>
      <c r="R57" s="130"/>
      <c r="AK57" s="130"/>
    </row>
    <row r="58" spans="1:37" s="3" customFormat="1" x14ac:dyDescent="0.35">
      <c r="A58" s="130"/>
      <c r="B58" s="903"/>
      <c r="C58" s="896"/>
      <c r="D58" s="895"/>
      <c r="E58" s="894"/>
      <c r="F58" s="894"/>
      <c r="G58" s="892"/>
      <c r="H58" s="892"/>
      <c r="I58" s="894"/>
      <c r="J58" s="894"/>
      <c r="K58" s="896"/>
      <c r="L58" s="896"/>
      <c r="M58" s="896"/>
      <c r="N58" s="896"/>
      <c r="O58" s="896"/>
      <c r="P58" s="895"/>
      <c r="R58" s="130"/>
      <c r="AK58" s="130"/>
    </row>
    <row r="59" spans="1:37" s="3" customFormat="1" x14ac:dyDescent="0.35">
      <c r="A59" s="130"/>
      <c r="B59" s="903"/>
      <c r="C59" s="896"/>
      <c r="D59" s="895"/>
      <c r="E59" s="894"/>
      <c r="F59" s="894"/>
      <c r="G59" s="892"/>
      <c r="H59" s="892"/>
      <c r="I59" s="894"/>
      <c r="J59" s="894"/>
      <c r="K59" s="896"/>
      <c r="L59" s="896"/>
      <c r="M59" s="896"/>
      <c r="N59" s="896"/>
      <c r="O59" s="896"/>
      <c r="P59" s="895"/>
      <c r="R59" s="130"/>
      <c r="AK59" s="130"/>
    </row>
    <row r="60" spans="1:37" s="3" customFormat="1" x14ac:dyDescent="0.35">
      <c r="A60" s="130"/>
      <c r="B60" s="903"/>
      <c r="C60" s="896"/>
      <c r="D60" s="895"/>
      <c r="E60" s="894"/>
      <c r="F60" s="894"/>
      <c r="G60" s="892"/>
      <c r="H60" s="892"/>
      <c r="I60" s="894"/>
      <c r="J60" s="894"/>
      <c r="K60" s="896"/>
      <c r="L60" s="896"/>
      <c r="M60" s="896"/>
      <c r="N60" s="896"/>
      <c r="O60" s="896"/>
      <c r="P60" s="895"/>
      <c r="R60" s="130"/>
      <c r="AK60" s="130"/>
    </row>
    <row r="61" spans="1:37" s="3" customFormat="1" x14ac:dyDescent="0.35">
      <c r="A61" s="130"/>
      <c r="B61" s="903"/>
      <c r="C61" s="896"/>
      <c r="D61" s="895"/>
      <c r="E61" s="894"/>
      <c r="F61" s="894"/>
      <c r="G61" s="892"/>
      <c r="H61" s="892"/>
      <c r="I61" s="894"/>
      <c r="J61" s="894"/>
      <c r="K61" s="896"/>
      <c r="L61" s="896"/>
      <c r="M61" s="896"/>
      <c r="N61" s="896"/>
      <c r="O61" s="896"/>
      <c r="P61" s="895"/>
      <c r="R61" s="130"/>
      <c r="AK61" s="130"/>
    </row>
    <row r="62" spans="1:37" s="3" customFormat="1" x14ac:dyDescent="0.35">
      <c r="A62" s="130"/>
      <c r="B62" s="903"/>
      <c r="C62" s="896"/>
      <c r="D62" s="895"/>
      <c r="E62" s="894"/>
      <c r="F62" s="894"/>
      <c r="G62" s="892"/>
      <c r="H62" s="892"/>
      <c r="I62" s="894"/>
      <c r="J62" s="894"/>
      <c r="K62" s="896"/>
      <c r="L62" s="896"/>
      <c r="M62" s="896"/>
      <c r="N62" s="896"/>
      <c r="O62" s="896"/>
      <c r="P62" s="895"/>
      <c r="R62" s="130"/>
      <c r="AK62" s="130"/>
    </row>
    <row r="63" spans="1:37" s="3" customFormat="1" x14ac:dyDescent="0.35">
      <c r="A63" s="130"/>
      <c r="B63" s="903"/>
      <c r="C63" s="896"/>
      <c r="D63" s="895"/>
      <c r="E63" s="894"/>
      <c r="F63" s="894"/>
      <c r="G63" s="892"/>
      <c r="H63" s="892"/>
      <c r="I63" s="894"/>
      <c r="J63" s="894"/>
      <c r="K63" s="896"/>
      <c r="L63" s="896"/>
      <c r="M63" s="896"/>
      <c r="N63" s="896"/>
      <c r="O63" s="896"/>
      <c r="P63" s="895"/>
      <c r="R63" s="130"/>
      <c r="AK63" s="130"/>
    </row>
    <row r="64" spans="1:37" s="3" customFormat="1" x14ac:dyDescent="0.35">
      <c r="A64" s="130"/>
      <c r="B64" s="902"/>
      <c r="C64" s="896"/>
      <c r="D64" s="895"/>
      <c r="E64" s="894"/>
      <c r="F64" s="894"/>
      <c r="G64" s="892"/>
      <c r="H64" s="892"/>
      <c r="I64" s="894"/>
      <c r="J64" s="894"/>
      <c r="K64" s="896"/>
      <c r="L64" s="896"/>
      <c r="M64" s="896"/>
      <c r="N64" s="896"/>
      <c r="O64" s="896"/>
      <c r="P64" s="895"/>
      <c r="R64" s="130"/>
      <c r="AK64" s="130"/>
    </row>
    <row r="65" spans="1:37" s="3" customFormat="1" x14ac:dyDescent="0.35">
      <c r="A65" s="130"/>
      <c r="B65" s="903"/>
      <c r="C65" s="896"/>
      <c r="D65" s="895"/>
      <c r="E65" s="894"/>
      <c r="F65" s="894"/>
      <c r="G65" s="892"/>
      <c r="H65" s="894"/>
      <c r="I65" s="892"/>
      <c r="J65" s="894"/>
      <c r="K65" s="896"/>
      <c r="L65" s="896"/>
      <c r="M65" s="896"/>
      <c r="N65" s="896"/>
      <c r="O65" s="896"/>
      <c r="P65" s="895"/>
      <c r="R65" s="130"/>
      <c r="AK65" s="130"/>
    </row>
  </sheetData>
  <sheetProtection algorithmName="SHA-512" hashValue="5h+H13xV5MO84rT6o8JiRsnIRu2rDz2dV8GszGE8E1TqT/AtD89XpOUwmH4E/b1sfTWF18lOSdhHRj4CvVyoUQ==" saltValue="ParT9Oa2+6zjGxNEgYT8rw==" spinCount="100000" sheet="1" objects="1" scenarios="1" formatColumns="0" formatRows="0" insertRows="0" deleteRows="0" selectLockedCells="1"/>
  <dataValidations count="3">
    <dataValidation type="list" allowBlank="1" showInputMessage="1" showErrorMessage="1" sqref="G11:Q12 S11:Z12" xr:uid="{191128F8-8257-4AC9-ACBA-D06EF1FCA8D6}">
      <formula1>"CF, EA, LF, LS, TON, CY, SF"</formula1>
    </dataValidation>
    <dataValidation type="list" allowBlank="1" showInputMessage="1" showErrorMessage="1" sqref="D13:D30" xr:uid="{6D10BFBE-B77E-4399-808B-4EC43CB9DE3E}">
      <formula1>"Setting, Sump, Pipeline"</formula1>
    </dataValidation>
    <dataValidation type="list" allowBlank="1" showInputMessage="1" showErrorMessage="1" sqref="AB13:AB30" xr:uid="{54943417-16B7-499D-8C29-8C7ECB747337}">
      <formula1>"10%,20%,30%"</formula1>
    </dataValidation>
  </dataValidations>
  <pageMargins left="0.25" right="0.25" top="0.75" bottom="0.75" header="0.3" footer="0.3"/>
  <pageSetup scale="47" orientation="landscape" r:id="rId1"/>
  <drawing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502AD-34FF-408E-8255-7D5A46978D06}">
  <sheetPr codeName="Sheet6">
    <tabColor theme="9" tint="-0.249977111117893"/>
    <pageSetUpPr fitToPage="1"/>
  </sheetPr>
  <dimension ref="B1:V42"/>
  <sheetViews>
    <sheetView showZeros="0" zoomScaleNormal="100" workbookViewId="0">
      <selection activeCell="D36" sqref="D36"/>
    </sheetView>
  </sheetViews>
  <sheetFormatPr defaultColWidth="9.1796875" defaultRowHeight="14.5" x14ac:dyDescent="0.35"/>
  <cols>
    <col min="1" max="1" width="3.6328125" style="1" customWidth="1"/>
    <col min="2" max="2" width="3.7265625" style="1" customWidth="1"/>
    <col min="3" max="3" width="36.453125" style="1" customWidth="1"/>
    <col min="4" max="4" width="12.54296875" style="5" bestFit="1" customWidth="1"/>
    <col min="5" max="5" width="8.54296875" style="5" customWidth="1"/>
    <col min="6" max="6" width="7.81640625" style="5" customWidth="1"/>
    <col min="7" max="7" width="10" style="5" customWidth="1"/>
    <col min="8" max="8" width="10.81640625" style="1" customWidth="1"/>
    <col min="9" max="9" width="1.81640625" style="1" customWidth="1"/>
    <col min="10" max="10" width="10.81640625" style="1" customWidth="1"/>
    <col min="11" max="11" width="11.54296875" style="1" customWidth="1"/>
    <col min="12" max="12" width="1.81640625" style="1" customWidth="1"/>
    <col min="13" max="16" width="9.1796875" style="1" customWidth="1"/>
    <col min="17" max="21" width="9.1796875" style="1"/>
    <col min="22" max="22" width="10.54296875" style="1" customWidth="1"/>
    <col min="23" max="16384" width="9.1796875" style="1"/>
  </cols>
  <sheetData>
    <row r="1" spans="2:22" ht="15" thickBot="1" x14ac:dyDescent="0.4">
      <c r="B1" s="6"/>
      <c r="C1" s="6"/>
    </row>
    <row r="2" spans="2:22" ht="15" customHeight="1" thickTop="1" x14ac:dyDescent="0.35">
      <c r="D2" s="77"/>
      <c r="E2" s="77"/>
      <c r="F2" s="77"/>
      <c r="G2" s="77"/>
      <c r="H2" s="77"/>
      <c r="I2" s="77"/>
      <c r="J2" s="77"/>
      <c r="K2" s="77"/>
      <c r="L2" s="77"/>
      <c r="M2" s="77"/>
      <c r="N2" s="77"/>
      <c r="O2" s="77"/>
      <c r="P2" s="77"/>
      <c r="Q2" s="77"/>
      <c r="R2" s="77"/>
      <c r="S2" s="77"/>
      <c r="T2" s="77"/>
      <c r="U2" s="77"/>
      <c r="V2" s="77"/>
    </row>
    <row r="3" spans="2:22" ht="20.149999999999999" customHeight="1" x14ac:dyDescent="0.35">
      <c r="D3" s="76"/>
      <c r="E3" s="76"/>
      <c r="F3" s="76"/>
      <c r="G3" s="76"/>
      <c r="H3" s="76" t="s">
        <v>157</v>
      </c>
      <c r="I3" s="76"/>
      <c r="J3" s="76"/>
      <c r="K3" s="76"/>
      <c r="L3" s="76"/>
      <c r="M3" s="76"/>
      <c r="N3" s="76"/>
      <c r="O3" s="76"/>
      <c r="P3" s="76"/>
      <c r="Q3" s="76"/>
      <c r="R3" s="76"/>
      <c r="S3" s="76"/>
      <c r="T3" s="76"/>
      <c r="U3" s="76"/>
      <c r="V3" s="76"/>
    </row>
    <row r="4" spans="2:22" ht="20.149999999999999" customHeight="1" x14ac:dyDescent="0.35">
      <c r="D4" s="76"/>
      <c r="E4" s="76"/>
      <c r="F4" s="76"/>
      <c r="G4" s="76"/>
      <c r="H4" s="76"/>
      <c r="I4" s="76"/>
      <c r="J4" s="610"/>
      <c r="K4" s="610" t="s">
        <v>276</v>
      </c>
      <c r="L4" s="610"/>
      <c r="M4" s="610"/>
      <c r="N4" s="76"/>
      <c r="O4" s="76"/>
      <c r="P4" s="76"/>
      <c r="Q4" s="76"/>
      <c r="R4" s="76"/>
      <c r="S4" s="76"/>
      <c r="T4" s="76"/>
      <c r="U4" s="76"/>
      <c r="V4" s="76"/>
    </row>
    <row r="5" spans="2:22" ht="15" customHeight="1" thickBot="1" x14ac:dyDescent="0.4">
      <c r="B5" s="6"/>
      <c r="C5" s="6"/>
      <c r="D5" s="78"/>
      <c r="E5" s="78"/>
      <c r="F5" s="78"/>
      <c r="G5" s="78"/>
      <c r="H5" s="78"/>
      <c r="I5" s="78"/>
      <c r="J5" s="78"/>
      <c r="K5" s="78"/>
      <c r="L5" s="78"/>
      <c r="M5" s="78"/>
      <c r="N5" s="78"/>
      <c r="O5" s="78"/>
      <c r="P5" s="78"/>
      <c r="Q5" s="78"/>
      <c r="R5" s="78"/>
      <c r="S5" s="78"/>
      <c r="T5" s="78"/>
      <c r="U5" s="78"/>
      <c r="V5" s="78"/>
    </row>
    <row r="6" spans="2:22" ht="17.5" thickTop="1" x14ac:dyDescent="0.35">
      <c r="D6" s="7"/>
      <c r="E6" s="7"/>
      <c r="F6" s="7"/>
      <c r="G6" s="7"/>
      <c r="H6" s="7"/>
      <c r="I6" s="7"/>
      <c r="J6" s="7"/>
      <c r="K6" s="7"/>
      <c r="L6" s="7"/>
    </row>
    <row r="7" spans="2:22" x14ac:dyDescent="0.35">
      <c r="B7" s="88" t="s">
        <v>158</v>
      </c>
      <c r="C7" s="88"/>
      <c r="D7" s="83" t="s">
        <v>281</v>
      </c>
      <c r="E7" s="83"/>
      <c r="F7" s="83"/>
      <c r="G7" s="83"/>
      <c r="H7" s="83"/>
      <c r="I7" s="83"/>
      <c r="J7" s="83"/>
      <c r="K7" s="83"/>
      <c r="L7" s="83"/>
      <c r="M7" s="83"/>
      <c r="N7" s="83"/>
      <c r="O7" s="83"/>
      <c r="P7" s="83"/>
      <c r="Q7" s="83"/>
      <c r="R7" s="83"/>
      <c r="S7" s="83"/>
      <c r="T7" s="83"/>
      <c r="U7" s="83"/>
      <c r="V7" s="83"/>
    </row>
    <row r="8" spans="2:22" x14ac:dyDescent="0.35">
      <c r="B8" s="88" t="s">
        <v>80</v>
      </c>
      <c r="C8" s="88"/>
      <c r="D8" s="83" t="s">
        <v>282</v>
      </c>
      <c r="E8" s="83"/>
      <c r="F8" s="83"/>
      <c r="G8" s="83"/>
      <c r="H8" s="83"/>
      <c r="I8" s="83"/>
      <c r="J8" s="83"/>
      <c r="K8" s="83"/>
      <c r="L8" s="83"/>
      <c r="M8" s="83"/>
      <c r="N8" s="83"/>
      <c r="O8" s="83"/>
      <c r="P8" s="83"/>
      <c r="Q8" s="83"/>
      <c r="R8" s="83"/>
      <c r="S8" s="83"/>
      <c r="T8" s="83"/>
      <c r="U8" s="83"/>
      <c r="V8" s="83"/>
    </row>
    <row r="9" spans="2:22" x14ac:dyDescent="0.35">
      <c r="B9" s="88" t="s">
        <v>159</v>
      </c>
      <c r="C9" s="88"/>
      <c r="D9" s="83" t="s">
        <v>318</v>
      </c>
      <c r="E9" s="83"/>
      <c r="F9" s="83"/>
      <c r="G9" s="83"/>
      <c r="H9" s="83"/>
      <c r="I9" s="83"/>
      <c r="J9" s="83"/>
      <c r="K9" s="83"/>
      <c r="L9" s="83"/>
      <c r="M9" s="83"/>
      <c r="N9" s="83"/>
      <c r="O9" s="83"/>
      <c r="P9" s="83"/>
      <c r="Q9" s="83"/>
      <c r="R9" s="83"/>
      <c r="S9" s="83"/>
      <c r="T9" s="83"/>
      <c r="U9" s="83"/>
      <c r="V9" s="83"/>
    </row>
    <row r="10" spans="2:22" x14ac:dyDescent="0.35">
      <c r="B10" s="88" t="s">
        <v>85</v>
      </c>
      <c r="C10" s="88"/>
      <c r="D10" s="83" t="s">
        <v>284</v>
      </c>
      <c r="E10" s="83"/>
      <c r="F10" s="83"/>
      <c r="G10" s="83"/>
      <c r="H10" s="83"/>
      <c r="I10" s="83"/>
      <c r="J10" s="83"/>
      <c r="K10" s="83"/>
      <c r="L10" s="83"/>
      <c r="M10" s="83"/>
      <c r="N10" s="83"/>
      <c r="O10" s="83"/>
      <c r="P10" s="83"/>
      <c r="Q10" s="83"/>
      <c r="R10" s="83"/>
      <c r="S10" s="83"/>
      <c r="T10" s="83"/>
      <c r="U10" s="83"/>
      <c r="V10" s="83"/>
    </row>
    <row r="11" spans="2:22" x14ac:dyDescent="0.35">
      <c r="D11" s="10"/>
      <c r="E11" s="10"/>
      <c r="F11" s="10"/>
      <c r="G11" s="10"/>
    </row>
    <row r="12" spans="2:22" ht="29" x14ac:dyDescent="0.35">
      <c r="B12" s="88" t="s">
        <v>86</v>
      </c>
      <c r="C12" s="88"/>
      <c r="D12" s="89" t="s">
        <v>87</v>
      </c>
      <c r="E12" s="89" t="s">
        <v>88</v>
      </c>
      <c r="F12" s="89" t="s">
        <v>89</v>
      </c>
      <c r="G12" s="89" t="s">
        <v>90</v>
      </c>
      <c r="H12" s="89" t="s">
        <v>91</v>
      </c>
      <c r="I12" s="90" t="s">
        <v>92</v>
      </c>
      <c r="J12" s="89"/>
      <c r="K12" s="89"/>
      <c r="L12" s="91"/>
      <c r="M12" s="91"/>
      <c r="N12" s="91"/>
      <c r="O12" s="91"/>
      <c r="P12" s="91"/>
      <c r="Q12" s="91"/>
      <c r="R12" s="91"/>
      <c r="S12" s="91"/>
      <c r="T12" s="91"/>
      <c r="U12" s="91"/>
      <c r="V12" s="91"/>
    </row>
    <row r="13" spans="2:22" x14ac:dyDescent="0.35">
      <c r="B13" s="88" t="s">
        <v>160</v>
      </c>
      <c r="C13" s="88"/>
      <c r="D13" s="11"/>
      <c r="E13" s="11"/>
      <c r="F13" s="11"/>
      <c r="G13" s="11"/>
      <c r="H13" s="11"/>
      <c r="I13" s="12"/>
      <c r="J13" s="11"/>
      <c r="K13" s="11"/>
    </row>
    <row r="14" spans="2:22" x14ac:dyDescent="0.35">
      <c r="B14" s="88"/>
      <c r="C14" s="88" t="s">
        <v>100</v>
      </c>
      <c r="D14" s="5">
        <f>IFERROR((E14*G14),"")</f>
        <v>2570.2247579854243</v>
      </c>
      <c r="E14" s="113">
        <v>100</v>
      </c>
      <c r="F14" s="5" t="s">
        <v>101</v>
      </c>
      <c r="G14" s="5">
        <v>25.702247579854244</v>
      </c>
      <c r="H14" s="14">
        <f>IFERROR((D14/$D$32),"")</f>
        <v>5.5399464469831877E-2</v>
      </c>
      <c r="I14" s="15" t="s">
        <v>338</v>
      </c>
      <c r="J14" s="14"/>
      <c r="K14" s="14"/>
    </row>
    <row r="15" spans="2:22" x14ac:dyDescent="0.35">
      <c r="B15" s="88"/>
      <c r="C15" s="88" t="s">
        <v>102</v>
      </c>
      <c r="D15" s="5">
        <f>IFERROR((E15*G15),"")</f>
        <v>469.17905749745046</v>
      </c>
      <c r="E15" s="113">
        <v>50</v>
      </c>
      <c r="F15" s="5" t="s">
        <v>101</v>
      </c>
      <c r="G15" s="5">
        <v>9.3835811499490092</v>
      </c>
      <c r="H15" s="14">
        <f>IFERROR((D15/$D$32),"")</f>
        <v>1.0112838748854125E-2</v>
      </c>
      <c r="I15" s="15" t="s">
        <v>393</v>
      </c>
      <c r="J15" s="14"/>
      <c r="K15" s="14"/>
    </row>
    <row r="16" spans="2:22" x14ac:dyDescent="0.35">
      <c r="B16" s="88"/>
      <c r="C16" s="88" t="s">
        <v>103</v>
      </c>
      <c r="D16" s="5">
        <f>IFERROR((E16*G16),"")</f>
        <v>900.72238403717165</v>
      </c>
      <c r="E16" s="113">
        <v>2</v>
      </c>
      <c r="F16" s="5" t="s">
        <v>104</v>
      </c>
      <c r="G16" s="5">
        <v>450.36119201858583</v>
      </c>
      <c r="H16" s="14">
        <f>IFERROR((D16/$D$32),"")</f>
        <v>1.9414464652018005E-2</v>
      </c>
      <c r="I16" s="15" t="s">
        <v>105</v>
      </c>
      <c r="J16" s="14"/>
      <c r="K16" s="14"/>
    </row>
    <row r="17" spans="2:12" x14ac:dyDescent="0.35">
      <c r="B17" s="88"/>
      <c r="C17" s="88" t="s">
        <v>106</v>
      </c>
      <c r="D17" s="5">
        <f>IFERROR((E17*G17),"")</f>
        <v>3548.9326646005093</v>
      </c>
      <c r="E17" s="113">
        <v>300</v>
      </c>
      <c r="F17" s="5" t="s">
        <v>107</v>
      </c>
      <c r="G17" s="5">
        <v>11.829775548668364</v>
      </c>
      <c r="H17" s="14">
        <f>IFERROR((D17/$D$32),"")</f>
        <v>7.6494854563795567E-2</v>
      </c>
      <c r="I17" s="15" t="s">
        <v>108</v>
      </c>
      <c r="J17" s="14"/>
      <c r="K17" s="14"/>
    </row>
    <row r="18" spans="2:12" x14ac:dyDescent="0.35">
      <c r="B18" s="88"/>
      <c r="C18" s="88" t="s">
        <v>161</v>
      </c>
      <c r="D18" s="16">
        <f>IFERROR((E18*G18),"")</f>
        <v>5148.568283383468</v>
      </c>
      <c r="E18" s="114">
        <v>1</v>
      </c>
      <c r="F18" s="16" t="s">
        <v>95</v>
      </c>
      <c r="G18" s="16">
        <v>5148.568283383468</v>
      </c>
      <c r="H18" s="18">
        <f>IFERROR((D18/$D$32),"")</f>
        <v>0.11097392350596261</v>
      </c>
      <c r="I18" s="15" t="s">
        <v>162</v>
      </c>
      <c r="J18" s="14"/>
      <c r="K18" s="14"/>
    </row>
    <row r="19" spans="2:12" x14ac:dyDescent="0.35">
      <c r="B19" s="88"/>
      <c r="C19" s="88" t="s">
        <v>114</v>
      </c>
      <c r="D19" s="5">
        <f>SUM(D14:D18)</f>
        <v>12637.627147504023</v>
      </c>
      <c r="G19" s="19"/>
      <c r="H19" s="14">
        <f>SUM(H14:H18)</f>
        <v>0.27239554594046222</v>
      </c>
      <c r="I19" s="15"/>
      <c r="J19" s="14"/>
      <c r="K19" s="14"/>
    </row>
    <row r="20" spans="2:12" x14ac:dyDescent="0.35">
      <c r="B20" s="88"/>
      <c r="C20" s="88"/>
      <c r="G20" s="19"/>
      <c r="H20" s="14"/>
      <c r="I20" s="15"/>
      <c r="J20" s="14"/>
      <c r="K20" s="14"/>
    </row>
    <row r="21" spans="2:12" x14ac:dyDescent="0.35">
      <c r="B21" s="88" t="s">
        <v>115</v>
      </c>
      <c r="C21" s="88"/>
      <c r="G21" s="19"/>
      <c r="H21" s="14"/>
      <c r="I21" s="15"/>
      <c r="J21" s="14"/>
      <c r="K21" s="14"/>
    </row>
    <row r="22" spans="2:12" x14ac:dyDescent="0.35">
      <c r="B22" s="88"/>
      <c r="C22" s="88" t="s">
        <v>163</v>
      </c>
      <c r="D22" s="5">
        <f>IFERROR((E22*G22),"")</f>
        <v>11913.750458563183</v>
      </c>
      <c r="E22" s="46">
        <v>1</v>
      </c>
      <c r="F22" s="5" t="s">
        <v>95</v>
      </c>
      <c r="G22" s="5">
        <v>11913.750458563183</v>
      </c>
      <c r="H22" s="14">
        <f>IFERROR((D22/$D$32),"")</f>
        <v>0.25679287119969346</v>
      </c>
      <c r="I22" s="15" t="s">
        <v>201</v>
      </c>
      <c r="J22" s="14"/>
      <c r="K22" s="14"/>
    </row>
    <row r="23" spans="2:12" x14ac:dyDescent="0.35">
      <c r="B23" s="88"/>
      <c r="C23" s="88" t="s">
        <v>164</v>
      </c>
      <c r="D23" s="5">
        <f>IFERROR((E23*G23),"")</f>
        <v>7538.8030763996621</v>
      </c>
      <c r="E23" s="113">
        <v>1</v>
      </c>
      <c r="F23" s="5" t="s">
        <v>95</v>
      </c>
      <c r="G23" s="5">
        <v>7538.8030763996621</v>
      </c>
      <c r="H23" s="14">
        <f>IFERROR((D23/$D$32),"")</f>
        <v>0.16249382544405122</v>
      </c>
      <c r="I23" s="15" t="s">
        <v>165</v>
      </c>
      <c r="J23" s="14"/>
      <c r="K23" s="14"/>
    </row>
    <row r="24" spans="2:12" x14ac:dyDescent="0.35">
      <c r="B24" s="88"/>
      <c r="C24" s="88" t="s">
        <v>117</v>
      </c>
      <c r="D24" s="16">
        <f>IFERROR((E24*G24),"")</f>
        <v>1528.9477063881611</v>
      </c>
      <c r="E24" s="114">
        <v>10</v>
      </c>
      <c r="F24" s="16" t="s">
        <v>118</v>
      </c>
      <c r="G24" s="16">
        <v>152.89477063881611</v>
      </c>
      <c r="H24" s="18">
        <f>IFERROR((D24/$D$32),"")</f>
        <v>3.2955438575213596E-2</v>
      </c>
      <c r="I24" s="15" t="s">
        <v>166</v>
      </c>
      <c r="J24" s="14"/>
      <c r="K24" s="14"/>
    </row>
    <row r="25" spans="2:12" x14ac:dyDescent="0.35">
      <c r="B25" s="88"/>
      <c r="C25" s="88" t="s">
        <v>114</v>
      </c>
      <c r="D25" s="5">
        <f>SUM(D22:D24)</f>
        <v>20981.501241351005</v>
      </c>
      <c r="H25" s="14">
        <f>SUM(H22:H24)</f>
        <v>0.45224213521895829</v>
      </c>
      <c r="I25" s="15"/>
      <c r="J25" s="14"/>
      <c r="K25" s="14"/>
    </row>
    <row r="26" spans="2:12" x14ac:dyDescent="0.35">
      <c r="B26" s="88"/>
      <c r="C26" s="88"/>
      <c r="H26" s="14"/>
      <c r="I26" s="15"/>
      <c r="J26" s="14"/>
      <c r="K26" s="14"/>
    </row>
    <row r="27" spans="2:12" x14ac:dyDescent="0.35">
      <c r="B27" s="88" t="s">
        <v>121</v>
      </c>
      <c r="C27" s="88"/>
      <c r="D27" s="5">
        <f>SUM(D19,D25)*E27</f>
        <v>6723.8256777710048</v>
      </c>
      <c r="E27" s="19" t="str">
        <f>'Contingency Calculation'!F20</f>
        <v>20%</v>
      </c>
      <c r="H27" s="14">
        <f>IFERROR((D27/$D$32),"")</f>
        <v>0.14492753623188406</v>
      </c>
      <c r="I27" s="15" t="s">
        <v>122</v>
      </c>
      <c r="J27" s="14"/>
      <c r="K27" s="14"/>
    </row>
    <row r="28" spans="2:12" x14ac:dyDescent="0.35">
      <c r="B28" s="88" t="s">
        <v>123</v>
      </c>
      <c r="C28" s="88"/>
      <c r="D28" s="5">
        <f>SUM(D19,D25)*E28</f>
        <v>1680.9564194427512</v>
      </c>
      <c r="E28" s="19">
        <v>0.05</v>
      </c>
      <c r="H28" s="14">
        <f>IFERROR((D28/$D$32),"")</f>
        <v>3.6231884057971016E-2</v>
      </c>
      <c r="I28" s="15" t="s">
        <v>198</v>
      </c>
      <c r="J28" s="14"/>
      <c r="K28" s="14"/>
    </row>
    <row r="29" spans="2:12" x14ac:dyDescent="0.35">
      <c r="B29" s="88" t="s">
        <v>124</v>
      </c>
      <c r="C29" s="88"/>
      <c r="D29" s="5">
        <f>SUM(D19,D25)*E29</f>
        <v>1680.9564194427512</v>
      </c>
      <c r="E29" s="19">
        <v>0.05</v>
      </c>
      <c r="H29" s="14">
        <f>IFERROR((D29/$D$32),"")</f>
        <v>3.6231884057971016E-2</v>
      </c>
      <c r="I29" s="15" t="s">
        <v>199</v>
      </c>
      <c r="J29" s="14"/>
      <c r="K29" s="14"/>
    </row>
    <row r="30" spans="2:12" x14ac:dyDescent="0.35">
      <c r="B30" s="88" t="s">
        <v>125</v>
      </c>
      <c r="C30" s="88"/>
      <c r="D30" s="5">
        <f>SUM(D19,D25)*E30</f>
        <v>2689.5302711084018</v>
      </c>
      <c r="E30" s="19">
        <v>0.08</v>
      </c>
      <c r="G30" s="19"/>
      <c r="H30" s="14">
        <f>IFERROR((D30/$D$32),"")</f>
        <v>5.7971014492753624E-2</v>
      </c>
      <c r="I30" s="15" t="s">
        <v>385</v>
      </c>
      <c r="J30" s="14"/>
      <c r="K30" s="14"/>
    </row>
    <row r="31" spans="2:12" x14ac:dyDescent="0.35">
      <c r="B31" s="88"/>
      <c r="C31" s="88"/>
      <c r="D31" s="16"/>
      <c r="E31" s="16"/>
      <c r="F31" s="16"/>
      <c r="G31" s="17"/>
      <c r="H31" s="18"/>
      <c r="I31" s="14"/>
      <c r="J31" s="14"/>
      <c r="K31" s="14"/>
      <c r="L31" s="22"/>
    </row>
    <row r="32" spans="2:12" ht="17" x14ac:dyDescent="0.4">
      <c r="B32" s="88" t="s">
        <v>126</v>
      </c>
      <c r="C32" s="93"/>
      <c r="D32" s="23">
        <f>D19+D25+D27+D28+D29+D30</f>
        <v>46394.397176619932</v>
      </c>
      <c r="E32" s="24"/>
      <c r="F32" s="24"/>
      <c r="G32" s="24"/>
      <c r="H32" s="25">
        <f>IFERROR((H19+H25+H27+H28+H29+H30),"")</f>
        <v>1.0000000000000002</v>
      </c>
      <c r="I32" s="25"/>
      <c r="J32" s="25"/>
      <c r="K32" s="25"/>
      <c r="L32" s="26"/>
    </row>
    <row r="33" spans="2:21" x14ac:dyDescent="0.35">
      <c r="C33" s="27"/>
      <c r="D33" s="28"/>
      <c r="E33" s="28"/>
      <c r="F33" s="28"/>
      <c r="G33" s="28"/>
      <c r="H33" s="29"/>
      <c r="I33" s="29"/>
      <c r="J33" s="29"/>
      <c r="K33" s="29"/>
      <c r="L33" s="27"/>
    </row>
    <row r="34" spans="2:21" x14ac:dyDescent="0.35">
      <c r="B34" s="88" t="s">
        <v>127</v>
      </c>
      <c r="C34" s="88"/>
      <c r="D34" s="88"/>
      <c r="E34" s="88"/>
      <c r="F34" s="88"/>
      <c r="G34" s="88"/>
      <c r="H34" s="88"/>
      <c r="I34" s="30"/>
      <c r="J34" s="94" t="s">
        <v>128</v>
      </c>
      <c r="K34" s="94" t="s">
        <v>129</v>
      </c>
      <c r="L34" s="31"/>
      <c r="M34" s="95"/>
      <c r="N34" s="98" t="s">
        <v>144</v>
      </c>
      <c r="O34" s="96"/>
      <c r="P34" s="97"/>
      <c r="Q34" s="31"/>
      <c r="R34" s="31"/>
      <c r="S34" s="31"/>
      <c r="T34" s="31"/>
      <c r="U34" s="31"/>
    </row>
    <row r="35" spans="2:21" ht="17.149999999999999" customHeight="1" x14ac:dyDescent="0.35">
      <c r="B35" s="890" t="s">
        <v>131</v>
      </c>
      <c r="C35" s="890"/>
      <c r="D35" s="890"/>
      <c r="E35" s="890"/>
      <c r="F35" s="890"/>
      <c r="G35" s="890"/>
      <c r="H35" s="890"/>
      <c r="I35" s="32"/>
      <c r="J35" s="74" t="s">
        <v>107</v>
      </c>
      <c r="K35" s="74" t="s">
        <v>132</v>
      </c>
      <c r="L35" s="31"/>
      <c r="M35" s="40" t="s">
        <v>115</v>
      </c>
      <c r="N35" s="41"/>
      <c r="O35" s="47"/>
      <c r="P35" s="48">
        <f>D32</f>
        <v>46394.397176619932</v>
      </c>
      <c r="Q35" s="39"/>
      <c r="R35" s="31"/>
      <c r="S35" s="31"/>
      <c r="T35" s="31"/>
      <c r="U35" s="31"/>
    </row>
    <row r="36" spans="2:21" x14ac:dyDescent="0.35">
      <c r="B36" s="890"/>
      <c r="C36" s="890"/>
      <c r="D36" s="890"/>
      <c r="E36" s="890"/>
      <c r="F36" s="890"/>
      <c r="G36" s="890"/>
      <c r="H36" s="890"/>
      <c r="I36" s="32"/>
      <c r="J36" s="74" t="s">
        <v>95</v>
      </c>
      <c r="K36" s="74" t="s">
        <v>134</v>
      </c>
      <c r="L36" s="37"/>
      <c r="M36" s="44"/>
      <c r="N36" s="31"/>
      <c r="O36" s="31"/>
      <c r="P36" s="31"/>
      <c r="Q36" s="31"/>
      <c r="R36" s="31"/>
      <c r="S36" s="31"/>
      <c r="T36" s="31"/>
      <c r="U36" s="31"/>
    </row>
    <row r="37" spans="2:21" x14ac:dyDescent="0.35">
      <c r="B37" s="890"/>
      <c r="C37" s="890"/>
      <c r="D37" s="890"/>
      <c r="E37" s="890"/>
      <c r="F37" s="890"/>
      <c r="G37" s="890"/>
      <c r="H37" s="890"/>
      <c r="I37" s="32"/>
      <c r="J37" s="74" t="s">
        <v>101</v>
      </c>
      <c r="K37" s="74" t="s">
        <v>135</v>
      </c>
      <c r="L37" s="37"/>
      <c r="M37" s="761" t="s">
        <v>251</v>
      </c>
      <c r="N37" s="774"/>
      <c r="O37" s="774"/>
      <c r="P37" s="774"/>
      <c r="Q37" s="774"/>
      <c r="R37" s="774"/>
      <c r="S37" s="31"/>
      <c r="T37" s="31"/>
      <c r="U37" s="31"/>
    </row>
    <row r="38" spans="2:21" x14ac:dyDescent="0.35">
      <c r="B38" s="890"/>
      <c r="C38" s="890"/>
      <c r="D38" s="890"/>
      <c r="E38" s="890"/>
      <c r="F38" s="890"/>
      <c r="G38" s="890"/>
      <c r="H38" s="890"/>
      <c r="I38" s="32"/>
      <c r="J38" s="74" t="s">
        <v>137</v>
      </c>
      <c r="K38" s="74" t="s">
        <v>138</v>
      </c>
      <c r="L38" s="37"/>
      <c r="M38" s="44"/>
      <c r="N38" s="31"/>
      <c r="O38" s="31"/>
      <c r="P38" s="31"/>
      <c r="Q38" s="31"/>
      <c r="R38" s="31"/>
      <c r="S38" s="31"/>
      <c r="T38" s="31"/>
      <c r="U38" s="31"/>
    </row>
    <row r="39" spans="2:21" x14ac:dyDescent="0.35">
      <c r="B39" s="890"/>
      <c r="C39" s="890"/>
      <c r="D39" s="890"/>
      <c r="E39" s="890"/>
      <c r="F39" s="890"/>
      <c r="G39" s="890"/>
      <c r="H39" s="890"/>
      <c r="I39" s="32"/>
      <c r="J39" s="74" t="s">
        <v>104</v>
      </c>
      <c r="K39" s="74" t="s">
        <v>339</v>
      </c>
      <c r="L39" s="37"/>
      <c r="M39" s="44"/>
      <c r="N39" s="31"/>
      <c r="O39" s="31"/>
      <c r="P39" s="31"/>
      <c r="Q39" s="31"/>
      <c r="R39" s="31"/>
      <c r="S39" s="31"/>
      <c r="T39" s="31"/>
      <c r="U39" s="31"/>
    </row>
    <row r="40" spans="2:21" x14ac:dyDescent="0.35">
      <c r="B40" s="890"/>
      <c r="C40" s="890"/>
      <c r="D40" s="890"/>
      <c r="E40" s="890"/>
      <c r="F40" s="890"/>
      <c r="G40" s="890"/>
      <c r="H40" s="890"/>
      <c r="I40" s="32"/>
      <c r="J40" s="74" t="s">
        <v>118</v>
      </c>
      <c r="K40" s="74" t="s">
        <v>139</v>
      </c>
      <c r="L40" s="37"/>
      <c r="M40" s="44"/>
      <c r="N40" s="31"/>
      <c r="O40" s="31"/>
      <c r="P40" s="31"/>
      <c r="Q40" s="31"/>
      <c r="R40" s="31"/>
      <c r="S40" s="31"/>
      <c r="T40" s="31"/>
      <c r="U40" s="31"/>
    </row>
    <row r="41" spans="2:21" x14ac:dyDescent="0.35">
      <c r="B41" s="890"/>
      <c r="C41" s="890"/>
      <c r="D41" s="890"/>
      <c r="E41" s="890"/>
      <c r="F41" s="890"/>
      <c r="G41" s="890"/>
      <c r="H41" s="890"/>
      <c r="I41" s="32"/>
      <c r="J41" s="74" t="s">
        <v>112</v>
      </c>
      <c r="K41" s="74" t="s">
        <v>140</v>
      </c>
      <c r="L41" s="37"/>
      <c r="M41" s="31"/>
      <c r="N41" s="31"/>
      <c r="O41" s="31"/>
      <c r="P41" s="31"/>
      <c r="Q41" s="31"/>
      <c r="R41" s="31"/>
      <c r="S41" s="31"/>
      <c r="T41" s="31"/>
      <c r="U41" s="31"/>
    </row>
    <row r="42" spans="2:21" x14ac:dyDescent="0.35">
      <c r="B42" s="45"/>
      <c r="C42" s="45"/>
      <c r="D42" s="45"/>
      <c r="E42" s="45"/>
      <c r="F42" s="45"/>
      <c r="G42" s="45"/>
      <c r="H42" s="45"/>
      <c r="I42" s="32"/>
      <c r="J42" s="32"/>
      <c r="K42" s="32"/>
      <c r="L42" s="37"/>
      <c r="Q42" s="31"/>
      <c r="R42" s="31"/>
      <c r="S42" s="31"/>
      <c r="T42" s="31"/>
      <c r="U42" s="31"/>
    </row>
  </sheetData>
  <sheetProtection algorithmName="SHA-512" hashValue="2V+LPIF/jsxUfLt4Nlmg/TJCrnqqlMwnYKMWFxLbA7Mlgcwkz5op1RzvCyAsG0WqID083oYC1Xr+kUFiSow6HQ==" saltValue="0v4GqHMQTyAHSPSw7jUWnw==" spinCount="100000" sheet="1" objects="1" scenarios="1" selectLockedCells="1"/>
  <dataValidations disablePrompts="1" count="1">
    <dataValidation type="list" allowBlank="1" showInputMessage="1" showErrorMessage="1" sqref="F22:F24 F14:F18" xr:uid="{FE472798-073A-4C64-AF58-D63BD1B6261A}">
      <formula1>"CF, EA, LF, LS, TON, CY, SF"</formula1>
    </dataValidation>
  </dataValidations>
  <pageMargins left="0.25" right="0.25" top="0.75" bottom="0.75" header="0.3" footer="0.3"/>
  <pageSetup scale="61"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12F9588C82DE48ADA9DA63A9B77DCE" ma:contentTypeVersion="4" ma:contentTypeDescription="Create a new document." ma:contentTypeScope="" ma:versionID="e0def131d2885f8500d31294d61b9290">
  <xsd:schema xmlns:xsd="http://www.w3.org/2001/XMLSchema" xmlns:xs="http://www.w3.org/2001/XMLSchema" xmlns:p="http://schemas.microsoft.com/office/2006/metadata/properties" xmlns:ns2="feac8a70-0464-48a8-b44f-f5434c8890fb" xmlns:ns3="f293941a-af52-48cf-bdb5-da96f1c0eed3" targetNamespace="http://schemas.microsoft.com/office/2006/metadata/properties" ma:root="true" ma:fieldsID="0a401727c5d9d99fb09de66295a61a15" ns2:_="" ns3:_="">
    <xsd:import namespace="feac8a70-0464-48a8-b44f-f5434c8890fb"/>
    <xsd:import namespace="f293941a-af52-48cf-bdb5-da96f1c0ee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ac8a70-0464-48a8-b44f-f5434c8890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93941a-af52-48cf-bdb5-da96f1c0ee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381AC4274A4C9145A73D2D255A5CD52B" ma:contentTypeVersion="2" ma:contentTypeDescription="Used for general documents" ma:contentTypeScope="" ma:versionID="4088649ff5489d2e8bbfbf25a0c840d2">
  <xsd:schema xmlns:xsd="http://www.w3.org/2001/XMLSchema" xmlns:xs="http://www.w3.org/2001/XMLSchema" xmlns:p="http://schemas.microsoft.com/office/2006/metadata/properties" xmlns:ns2="7a336278-0556-40dc-ad1f-738db1cf740b" targetNamespace="http://schemas.microsoft.com/office/2006/metadata/properties" ma:root="true" ma:fieldsID="853e6a9ffd8a69fe0f77ce6f1bc23eba"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8a8e2b6b8eb4c5ba4e592c4475c0bd1 xmlns="7a336278-0556-40dc-ad1f-738db1cf740b">
      <Terms xmlns="http://schemas.microsoft.com/office/infopath/2007/PartnerControls">
        <TermInfo xmlns="http://schemas.microsoft.com/office/infopath/2007/PartnerControls">
          <TermName xmlns="http://schemas.microsoft.com/office/infopath/2007/PartnerControls">Oil, Gas ＆ Geothermal</TermName>
          <TermId xmlns="http://schemas.microsoft.com/office/infopath/2007/PartnerControls">448500ef-ab46-4466-bf33-d2f098a4e3df</TermId>
        </TermInfo>
      </Terms>
    </f8a8e2b6b8eb4c5ba4e592c4475c0bd1>
    <j60a74bcc51d4f538b779647a2a71aa6 xmlns="7a336278-0556-40dc-ad1f-738db1cf740b">
      <Terms xmlns="http://schemas.microsoft.com/office/infopath/2007/PartnerControls">
        <TermInfo xmlns="http://schemas.microsoft.com/office/infopath/2007/PartnerControls">
          <TermName xmlns="http://schemas.microsoft.com/office/infopath/2007/PartnerControls">Government ＆ Partner Agencies</TermName>
          <TermId xmlns="http://schemas.microsoft.com/office/infopath/2007/PartnerControls">3cfbdcf6-b60a-473b-86c0-e52a5fa2093d</TermId>
        </TermInfo>
      </Terms>
    </j60a74bcc51d4f538b779647a2a71aa6>
    <d98a67cd2c02468ea6d4be1da43b7176 xmlns="7a336278-0556-40dc-ad1f-738db1cf740b">
      <Terms xmlns="http://schemas.microsoft.com/office/infopath/2007/PartnerControls"/>
    </d98a67cd2c02468ea6d4be1da43b7176>
    <TaxKeywordTaxHTField xmlns="7a336278-0556-40dc-ad1f-738db1cf740b">
      <Terms xmlns="http://schemas.microsoft.com/office/infopath/2007/PartnerControls"/>
    </TaxKeywordTaxHTField>
    <h477cce3d7f141d1945d07e5695f78ad xmlns="7a336278-0556-40dc-ad1f-738db1cf740b">
      <Terms xmlns="http://schemas.microsoft.com/office/infopath/2007/PartnerControls"/>
    </h477cce3d7f141d1945d07e5695f78ad>
    <TaxCatchAll xmlns="7a336278-0556-40dc-ad1f-738db1cf740b"/>
  </documentManagement>
</p:properties>
</file>

<file path=customXml/itemProps1.xml><?xml version="1.0" encoding="utf-8"?>
<ds:datastoreItem xmlns:ds="http://schemas.openxmlformats.org/officeDocument/2006/customXml" ds:itemID="{7F868701-B0F3-4F08-99FF-B98712D47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ac8a70-0464-48a8-b44f-f5434c8890fb"/>
    <ds:schemaRef ds:uri="f293941a-af52-48cf-bdb5-da96f1c0ee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CF15B4-6A6B-4ED5-96C8-8381557DA557}"/>
</file>

<file path=customXml/itemProps3.xml><?xml version="1.0" encoding="utf-8"?>
<ds:datastoreItem xmlns:ds="http://schemas.openxmlformats.org/officeDocument/2006/customXml" ds:itemID="{FD5FB367-9FDC-4979-8E9B-3DEDA7B54FFA}">
  <ds:schemaRefs>
    <ds:schemaRef ds:uri="http://schemas.microsoft.com/sharepoint/v3/contenttype/forms"/>
  </ds:schemaRefs>
</ds:datastoreItem>
</file>

<file path=customXml/itemProps4.xml><?xml version="1.0" encoding="utf-8"?>
<ds:datastoreItem xmlns:ds="http://schemas.openxmlformats.org/officeDocument/2006/customXml" ds:itemID="{46307DE5-67DF-49C8-947A-A6540BE3773A}">
  <ds:schemaRefs>
    <ds:schemaRef ds:uri="http://purl.org/dc/dcmitype/"/>
    <ds:schemaRef ds:uri="http://schemas.microsoft.com/office/2006/documentManagement/types"/>
    <ds:schemaRef ds:uri="http://purl.org/dc/elements/1.1/"/>
    <ds:schemaRef ds:uri="http://schemas.microsoft.com/office/2006/metadata/properties"/>
    <ds:schemaRef ds:uri="feac8a70-0464-48a8-b44f-f5434c8890fb"/>
    <ds:schemaRef ds:uri="f293941a-af52-48cf-bdb5-da96f1c0eed3"/>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Operator Contact</vt:lpstr>
      <vt:lpstr>Well P&amp;A Cost (Single Well)</vt:lpstr>
      <vt:lpstr>Well P&amp;A Background</vt:lpstr>
      <vt:lpstr>Well P&amp;A Cost</vt:lpstr>
      <vt:lpstr>Fac. Dec. &amp; Site Rem. (Single)</vt:lpstr>
      <vt:lpstr>Well Site Remediation</vt:lpstr>
      <vt:lpstr>Facility Decom. &amp; Site Remedia.</vt:lpstr>
      <vt:lpstr>Well Site Rem. (Single Well)</vt:lpstr>
      <vt:lpstr>Contingency Calculation</vt:lpstr>
      <vt:lpstr>'Contingency Calculation'!Print_Area</vt:lpstr>
      <vt:lpstr>'Fac. Dec. &amp; Site Rem. (Single)'!Print_Area</vt:lpstr>
      <vt:lpstr>'Facility Decom. &amp; Site Remedia.'!Print_Area</vt:lpstr>
      <vt:lpstr>Overview!Print_Area</vt:lpstr>
      <vt:lpstr>'Well P&amp;A Cost'!Print_Area</vt:lpstr>
      <vt:lpstr>'Well P&amp;A Cost (Single Well)'!Print_Area</vt:lpstr>
      <vt:lpstr>'Well Site Rem. (Single Well)'!Print_Area</vt:lpstr>
      <vt:lpstr>'Well Site Remediation'!Print_Area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Omoeko Omoeko</dc:creator>
  <cp:keywords/>
  <dc:description/>
  <cp:lastModifiedBy>Takamori, Michael@DOC</cp:lastModifiedBy>
  <cp:revision/>
  <cp:lastPrinted>2023-03-28T17:34:40Z</cp:lastPrinted>
  <dcterms:created xsi:type="dcterms:W3CDTF">2021-05-11T17:13:21Z</dcterms:created>
  <dcterms:modified xsi:type="dcterms:W3CDTF">2023-08-02T15:17:13Z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0x010100B5E723BB7F66412298F94789433FE2AA040100381AC4274A4C9145A73D2D255A5CD52B</vt:lpwstr>
  </property>
  <property fmtid="{D5CDD505-2E9C-101B-9397-08002B2CF9AE}" pid="3" name="TriggerFlowInfo">
    <vt:lpwstr/>
  </property>
  <property fmtid="{D5CDD505-2E9C-101B-9397-08002B2CF9AE}" pid="4" name="TaxKeyword">
    <vt:lpwstr/>
  </property>
  <property fmtid="{D5CDD505-2E9C-101B-9397-08002B2CF9AE}" pid="5" name="scTopics">
    <vt:lpwstr/>
  </property>
  <property fmtid="{D5CDD505-2E9C-101B-9397-08002B2CF9AE}" pid="6" name="scDivision">
    <vt:lpwstr>151;#Oil, Gas ＆ Geothermal|448500ef-ab46-4466-bf33-d2f098a4e3df</vt:lpwstr>
  </property>
  <property fmtid="{D5CDD505-2E9C-101B-9397-08002B2CF9AE}" pid="7" name="scInformationFor">
    <vt:lpwstr>138;#Government ＆ Partner Agencies|3cfbdcf6-b60a-473b-86c0-e52a5fa2093d</vt:lpwstr>
  </property>
  <property fmtid="{D5CDD505-2E9C-101B-9397-08002B2CF9AE}" pid="8" name="scSubAudiences">
    <vt:lpwstr/>
  </property>
</Properties>
</file>